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updateLinks="always"/>
  <mc:AlternateContent xmlns:mc="http://schemas.openxmlformats.org/markup-compatibility/2006">
    <mc:Choice Requires="x15">
      <x15ac:absPath xmlns:x15ac="http://schemas.microsoft.com/office/spreadsheetml/2010/11/ac" url="C:\Users\hgonzalez\Desktop\"/>
    </mc:Choice>
  </mc:AlternateContent>
  <xr:revisionPtr revIDLastSave="0" documentId="13_ncr:1_{F931B5E0-CCA8-49D5-90E8-CCF7A16B76E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Y23" sheetId="1" r:id="rId1"/>
    <sheet name="PAYROLL FY23" sheetId="4" r:id="rId2"/>
    <sheet name="REI" sheetId="5" r:id="rId3"/>
    <sheet name="LGBMS" sheetId="6" r:id="rId4"/>
    <sheet name="ARPA" sheetId="7" r:id="rId5"/>
    <sheet name="PAYROLL FY22 (3)" sheetId="2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'FY23'!$B$1:$D$473</definedName>
    <definedName name="_xlnm._FilterDatabase" localSheetId="5" hidden="1">'PAYROLL FY22 (3)'!$B$1:$V$93</definedName>
    <definedName name="_xlnm._FilterDatabase" localSheetId="1" hidden="1">'PAYROLL FY23'!$B$1:$S$99</definedName>
    <definedName name="a" localSheetId="3">#REF!</definedName>
    <definedName name="a">#REF!</definedName>
    <definedName name="Health2" localSheetId="5">[1]Sheet11!$A$25:$D$46</definedName>
    <definedName name="Health2" localSheetId="1">[1]Sheet11!$A$25:$D$46</definedName>
    <definedName name="Health2">[2]Sheet11!$A$25:$D$46</definedName>
    <definedName name="MAINTABLE" localSheetId="0">'FY23'!$B$1:$D$472</definedName>
    <definedName name="_xlnm.Print_Area" localSheetId="0">'FY23'!$B$1:$D$473</definedName>
    <definedName name="_xlnm.Print_Area" localSheetId="5">'PAYROLL FY22 (3)'!$A$1:$L$93</definedName>
    <definedName name="_xlnm.Print_Area" localSheetId="1">'PAYROLL FY23'!$A$1:$I$99</definedName>
    <definedName name="Print_Area_MI" localSheetId="3">#REF!</definedName>
    <definedName name="Print_Area_MI">#REF!</definedName>
    <definedName name="_xlnm.Print_Titles" localSheetId="0">'FY23'!$1:$1</definedName>
    <definedName name="_xlnm.Print_Titles" localSheetId="5">'PAYROLL FY22 (3)'!$1:$1</definedName>
    <definedName name="_xlnm.Print_Titles" localSheetId="1">'PAYROLL FY23'!$1:$1</definedName>
    <definedName name="table_1" localSheetId="5">[3]Sheet2!$A$1:$C$203</definedName>
    <definedName name="table_1" localSheetId="1">[3]Sheet2!$A$1:$C$203</definedName>
    <definedName name="table_1">[4]Sheet2!$A$1:$C$203</definedName>
    <definedName name="Table_2" localSheetId="5">[3]Sheet3!$A$1:$C$216</definedName>
    <definedName name="Table_2" localSheetId="1">[3]Sheet3!$A$1:$C$216</definedName>
    <definedName name="Table_2">[4]Sheet3!$A$1:$C$216</definedName>
    <definedName name="TableFinal">[1]Final!$A$1:$C$299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1" i="1" l="1"/>
  <c r="F391" i="1"/>
  <c r="E391" i="1"/>
  <c r="D391" i="1"/>
  <c r="G259" i="1"/>
  <c r="G257" i="1"/>
  <c r="G242" i="1"/>
  <c r="G241" i="1"/>
  <c r="G223" i="1"/>
  <c r="G188" i="1"/>
  <c r="G183" i="1"/>
  <c r="G167" i="1"/>
  <c r="G165" i="1"/>
  <c r="G64" i="1"/>
  <c r="G61" i="1"/>
  <c r="G59" i="1"/>
  <c r="G83" i="1"/>
  <c r="G105" i="1"/>
  <c r="G109" i="1"/>
  <c r="G104" i="1"/>
  <c r="G150" i="1"/>
  <c r="G148" i="1"/>
  <c r="G147" i="1"/>
  <c r="G141" i="1"/>
  <c r="D18" i="7" l="1"/>
  <c r="D30" i="7"/>
  <c r="D33" i="7" s="1"/>
  <c r="D36" i="7" s="1"/>
  <c r="G123" i="1"/>
  <c r="G43" i="1"/>
  <c r="D35" i="7" l="1"/>
  <c r="D459" i="1" l="1"/>
  <c r="G457" i="1"/>
  <c r="G459" i="1" s="1"/>
  <c r="O59" i="4"/>
  <c r="R58" i="4"/>
  <c r="N58" i="4"/>
  <c r="L58" i="4"/>
  <c r="K58" i="4"/>
  <c r="J58" i="4"/>
  <c r="S58" i="4" s="1"/>
  <c r="I58" i="4"/>
  <c r="N57" i="4"/>
  <c r="I57" i="4"/>
  <c r="R56" i="4"/>
  <c r="Q59" i="4"/>
  <c r="P59" i="4"/>
  <c r="N56" i="4"/>
  <c r="I56" i="4"/>
  <c r="L56" i="4" s="1"/>
  <c r="R55" i="4"/>
  <c r="N55" i="4"/>
  <c r="I55" i="4"/>
  <c r="L55" i="4" s="1"/>
  <c r="R54" i="4"/>
  <c r="R59" i="4" s="1"/>
  <c r="N54" i="4"/>
  <c r="N59" i="4" s="1"/>
  <c r="L54" i="4"/>
  <c r="K54" i="4"/>
  <c r="S54" i="4" s="1"/>
  <c r="J54" i="4"/>
  <c r="I54" i="4"/>
  <c r="I59" i="4" s="1"/>
  <c r="R51" i="4"/>
  <c r="R52" i="4" s="1"/>
  <c r="Q51" i="4"/>
  <c r="Q52" i="4" s="1"/>
  <c r="P51" i="4"/>
  <c r="P52" i="4" s="1"/>
  <c r="O51" i="4"/>
  <c r="O52" i="4" s="1"/>
  <c r="N51" i="4"/>
  <c r="N52" i="4" s="1"/>
  <c r="I51" i="4"/>
  <c r="J51" i="4" s="1"/>
  <c r="J52" i="4" s="1"/>
  <c r="J56" i="4" l="1"/>
  <c r="J59" i="4" s="1"/>
  <c r="K55" i="4"/>
  <c r="K59" i="4" s="1"/>
  <c r="K56" i="4"/>
  <c r="S56" i="4" s="1"/>
  <c r="J57" i="4"/>
  <c r="J55" i="4"/>
  <c r="K57" i="4"/>
  <c r="L57" i="4"/>
  <c r="M59" i="4" s="1"/>
  <c r="I52" i="4"/>
  <c r="L51" i="4"/>
  <c r="L52" i="4" s="1"/>
  <c r="K51" i="4"/>
  <c r="K52" i="4" s="1"/>
  <c r="G266" i="1"/>
  <c r="G270" i="1" s="1"/>
  <c r="G271" i="1"/>
  <c r="S55" i="4" l="1"/>
  <c r="S57" i="4"/>
  <c r="S51" i="4"/>
  <c r="S52" i="4" s="1"/>
  <c r="D148" i="1"/>
  <c r="F68" i="4"/>
  <c r="I4" i="4"/>
  <c r="S59" i="4" l="1"/>
  <c r="D202" i="1"/>
  <c r="D201" i="1"/>
  <c r="D200" i="1"/>
  <c r="D199" i="1"/>
  <c r="D198" i="1"/>
  <c r="D197" i="1"/>
  <c r="D196" i="1"/>
  <c r="D195" i="1"/>
  <c r="D194" i="1"/>
  <c r="G111" i="1"/>
  <c r="G125" i="1"/>
  <c r="I79" i="4" l="1"/>
  <c r="G424" i="1"/>
  <c r="G570" i="1"/>
  <c r="G572" i="1" s="1"/>
  <c r="E453" i="1"/>
  <c r="F453" i="1"/>
  <c r="D453" i="1"/>
  <c r="G452" i="1"/>
  <c r="G450" i="1"/>
  <c r="G453" i="1" s="1"/>
  <c r="G576" i="1"/>
  <c r="E572" i="1" l="1"/>
  <c r="F572" i="1"/>
  <c r="E578" i="1"/>
  <c r="F578" i="1"/>
  <c r="G578" i="1"/>
  <c r="G538" i="1" l="1"/>
  <c r="G539" i="1"/>
  <c r="F539" i="1"/>
  <c r="E539" i="1"/>
  <c r="D539" i="1"/>
  <c r="E457" i="1"/>
  <c r="G151" i="1"/>
  <c r="I90" i="4"/>
  <c r="I91" i="4"/>
  <c r="I92" i="4"/>
  <c r="I93" i="4"/>
  <c r="I94" i="4"/>
  <c r="I95" i="4"/>
  <c r="I89" i="4"/>
  <c r="I84" i="4"/>
  <c r="I83" i="4"/>
  <c r="I85" i="4"/>
  <c r="I62" i="4"/>
  <c r="I63" i="4"/>
  <c r="I64" i="4"/>
  <c r="I65" i="4"/>
  <c r="I66" i="4"/>
  <c r="I67" i="4"/>
  <c r="I69" i="4"/>
  <c r="I71" i="4"/>
  <c r="I72" i="4"/>
  <c r="I73" i="4"/>
  <c r="I74" i="4"/>
  <c r="I75" i="4"/>
  <c r="I76" i="4"/>
  <c r="I77" i="4"/>
  <c r="I78" i="4"/>
  <c r="K79" i="4"/>
  <c r="I70" i="4"/>
  <c r="J70" i="4" s="1"/>
  <c r="I61" i="4"/>
  <c r="I45" i="4"/>
  <c r="I46" i="4"/>
  <c r="I47" i="4"/>
  <c r="I48" i="4"/>
  <c r="I44" i="4"/>
  <c r="I40" i="4"/>
  <c r="I41" i="4"/>
  <c r="I39" i="4"/>
  <c r="I25" i="4"/>
  <c r="I26" i="4"/>
  <c r="I27" i="4"/>
  <c r="I28" i="4"/>
  <c r="I29" i="4"/>
  <c r="I30" i="4"/>
  <c r="I31" i="4"/>
  <c r="I32" i="4"/>
  <c r="I33" i="4"/>
  <c r="I34" i="4"/>
  <c r="I35" i="4"/>
  <c r="I36" i="4"/>
  <c r="I24" i="4"/>
  <c r="I21" i="4"/>
  <c r="I18" i="4"/>
  <c r="I13" i="4"/>
  <c r="I14" i="4"/>
  <c r="I15" i="4"/>
  <c r="I12" i="4"/>
  <c r="I9" i="4"/>
  <c r="I5" i="4"/>
  <c r="I6" i="4"/>
  <c r="O78" i="4"/>
  <c r="P78" i="4"/>
  <c r="N79" i="4"/>
  <c r="N70" i="4"/>
  <c r="R63" i="4"/>
  <c r="I16" i="4" l="1"/>
  <c r="I68" i="4"/>
  <c r="I81" i="4" s="1"/>
  <c r="L79" i="4"/>
  <c r="J79" i="4"/>
  <c r="L70" i="4"/>
  <c r="K70" i="4"/>
  <c r="D44" i="5"/>
  <c r="S79" i="4" l="1"/>
  <c r="S70" i="4"/>
  <c r="G517" i="1" l="1"/>
  <c r="G368" i="1"/>
  <c r="G595" i="1" l="1"/>
  <c r="G583" i="1"/>
  <c r="G566" i="1"/>
  <c r="G561" i="1"/>
  <c r="G555" i="1"/>
  <c r="G550" i="1"/>
  <c r="G544" i="1"/>
  <c r="G533" i="1"/>
  <c r="G528" i="1"/>
  <c r="G522" i="1"/>
  <c r="G512" i="1"/>
  <c r="G506" i="1"/>
  <c r="G501" i="1"/>
  <c r="G495" i="1"/>
  <c r="G490" i="1"/>
  <c r="G485" i="1"/>
  <c r="G480" i="1"/>
  <c r="G474" i="1"/>
  <c r="G469" i="1"/>
  <c r="G464" i="1"/>
  <c r="G446" i="1"/>
  <c r="G420" i="1"/>
  <c r="G415" i="1"/>
  <c r="G409" i="1"/>
  <c r="G402" i="1"/>
  <c r="G396" i="1"/>
  <c r="G379" i="1"/>
  <c r="G373" i="1"/>
  <c r="G362" i="1"/>
  <c r="G357" i="1"/>
  <c r="G349" i="1"/>
  <c r="G343" i="1"/>
  <c r="G337" i="1"/>
  <c r="G329" i="1"/>
  <c r="G321" i="1"/>
  <c r="G314" i="1"/>
  <c r="G300" i="1"/>
  <c r="G292" i="1"/>
  <c r="G287" i="1"/>
  <c r="G282" i="1"/>
  <c r="G264" i="1"/>
  <c r="G248" i="1"/>
  <c r="G226" i="1"/>
  <c r="G205" i="1"/>
  <c r="G191" i="1"/>
  <c r="G170" i="1"/>
  <c r="G87" i="1"/>
  <c r="G66" i="1"/>
  <c r="G46" i="1"/>
  <c r="G38" i="1"/>
  <c r="G28" i="1"/>
  <c r="G272" i="1" s="1"/>
  <c r="D207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AG188" i="6"/>
  <c r="AH188" i="6" s="1"/>
  <c r="R188" i="6"/>
  <c r="AG187" i="6"/>
  <c r="AH187" i="6" s="1"/>
  <c r="R187" i="6"/>
  <c r="AG186" i="6"/>
  <c r="AH186" i="6" s="1"/>
  <c r="R186" i="6"/>
  <c r="AH182" i="6"/>
  <c r="AG182" i="6"/>
  <c r="R182" i="6"/>
  <c r="AH181" i="6"/>
  <c r="AG181" i="6"/>
  <c r="R181" i="6"/>
  <c r="AG180" i="6"/>
  <c r="AH180" i="6" s="1"/>
  <c r="R180" i="6"/>
  <c r="AG179" i="6"/>
  <c r="AH179" i="6" s="1"/>
  <c r="R179" i="6"/>
  <c r="AH178" i="6"/>
  <c r="AG178" i="6"/>
  <c r="R178" i="6"/>
  <c r="AG174" i="6"/>
  <c r="AH174" i="6" s="1"/>
  <c r="U174" i="6"/>
  <c r="D206" i="6" s="1"/>
  <c r="R174" i="6"/>
  <c r="AH173" i="6"/>
  <c r="AG173" i="6"/>
  <c r="R173" i="6"/>
  <c r="AG172" i="6"/>
  <c r="AH172" i="6" s="1"/>
  <c r="R172" i="6"/>
  <c r="AG168" i="6"/>
  <c r="AH168" i="6" s="1"/>
  <c r="R168" i="6"/>
  <c r="AH167" i="6"/>
  <c r="AG167" i="6"/>
  <c r="R167" i="6"/>
  <c r="AG166" i="6"/>
  <c r="AH166" i="6" s="1"/>
  <c r="R166" i="6"/>
  <c r="AG162" i="6"/>
  <c r="R162" i="6"/>
  <c r="AH158" i="6"/>
  <c r="AG158" i="6"/>
  <c r="R158" i="6"/>
  <c r="D158" i="6"/>
  <c r="AH157" i="6"/>
  <c r="AG157" i="6"/>
  <c r="D157" i="6"/>
  <c r="AH156" i="6"/>
  <c r="AG156" i="6"/>
  <c r="R156" i="6"/>
  <c r="AG155" i="6"/>
  <c r="AH155" i="6" s="1"/>
  <c r="R155" i="6"/>
  <c r="AG154" i="6"/>
  <c r="AH154" i="6" s="1"/>
  <c r="R154" i="6"/>
  <c r="AH153" i="6"/>
  <c r="AG153" i="6"/>
  <c r="R153" i="6"/>
  <c r="AG152" i="6"/>
  <c r="AH152" i="6" s="1"/>
  <c r="R152" i="6"/>
  <c r="AG148" i="6"/>
  <c r="AH148" i="6" s="1"/>
  <c r="R148" i="6"/>
  <c r="AG147" i="6"/>
  <c r="AH147" i="6" s="1"/>
  <c r="R147" i="6"/>
  <c r="AH143" i="6"/>
  <c r="AG143" i="6"/>
  <c r="R143" i="6"/>
  <c r="AH142" i="6"/>
  <c r="AG142" i="6"/>
  <c r="R142" i="6"/>
  <c r="AG141" i="6"/>
  <c r="AH141" i="6" s="1"/>
  <c r="R141" i="6"/>
  <c r="AG137" i="6"/>
  <c r="AH137" i="6" s="1"/>
  <c r="R137" i="6"/>
  <c r="AH136" i="6"/>
  <c r="AG136" i="6"/>
  <c r="R136" i="6"/>
  <c r="AG135" i="6"/>
  <c r="AH135" i="6" s="1"/>
  <c r="R135" i="6"/>
  <c r="AG134" i="6"/>
  <c r="AH134" i="6" s="1"/>
  <c r="R134" i="6"/>
  <c r="AG133" i="6"/>
  <c r="AH133" i="6" s="1"/>
  <c r="R133" i="6"/>
  <c r="AH132" i="6"/>
  <c r="AG132" i="6"/>
  <c r="R132" i="6"/>
  <c r="AH131" i="6"/>
  <c r="AG131" i="6"/>
  <c r="R131" i="6"/>
  <c r="AG130" i="6"/>
  <c r="AH130" i="6" s="1"/>
  <c r="R130" i="6"/>
  <c r="AG126" i="6"/>
  <c r="AH126" i="6" s="1"/>
  <c r="R126" i="6"/>
  <c r="AH125" i="6"/>
  <c r="AG125" i="6"/>
  <c r="R125" i="6"/>
  <c r="AG124" i="6"/>
  <c r="AH124" i="6" s="1"/>
  <c r="R124" i="6"/>
  <c r="AG123" i="6"/>
  <c r="AH123" i="6" s="1"/>
  <c r="R123" i="6"/>
  <c r="AG119" i="6"/>
  <c r="AH119" i="6" s="1"/>
  <c r="R119" i="6"/>
  <c r="AH118" i="6"/>
  <c r="AG118" i="6"/>
  <c r="R118" i="6"/>
  <c r="AH117" i="6"/>
  <c r="AG117" i="6"/>
  <c r="R117" i="6"/>
  <c r="AG113" i="6"/>
  <c r="AH113" i="6" s="1"/>
  <c r="R113" i="6"/>
  <c r="AG112" i="6"/>
  <c r="AH112" i="6" s="1"/>
  <c r="R112" i="6"/>
  <c r="AH111" i="6"/>
  <c r="AG111" i="6"/>
  <c r="R111" i="6"/>
  <c r="AG108" i="6"/>
  <c r="R108" i="6"/>
  <c r="AG107" i="6"/>
  <c r="AH107" i="6" s="1"/>
  <c r="R107" i="6"/>
  <c r="AH106" i="6"/>
  <c r="AG106" i="6"/>
  <c r="R106" i="6"/>
  <c r="AG105" i="6"/>
  <c r="AH105" i="6" s="1"/>
  <c r="R105" i="6"/>
  <c r="AG104" i="6"/>
  <c r="AH104" i="6" s="1"/>
  <c r="R104" i="6"/>
  <c r="AG103" i="6"/>
  <c r="AH103" i="6" s="1"/>
  <c r="R103" i="6"/>
  <c r="AH102" i="6"/>
  <c r="AG102" i="6"/>
  <c r="R102" i="6"/>
  <c r="AH101" i="6"/>
  <c r="AG101" i="6"/>
  <c r="R101" i="6"/>
  <c r="AG100" i="6"/>
  <c r="AH100" i="6" s="1"/>
  <c r="R100" i="6"/>
  <c r="AG96" i="6"/>
  <c r="AH96" i="6" s="1"/>
  <c r="R96" i="6"/>
  <c r="AH95" i="6"/>
  <c r="AG95" i="6"/>
  <c r="R95" i="6"/>
  <c r="AG94" i="6"/>
  <c r="AH94" i="6" s="1"/>
  <c r="R94" i="6"/>
  <c r="AG93" i="6"/>
  <c r="AH93" i="6" s="1"/>
  <c r="R93" i="6"/>
  <c r="AG92" i="6"/>
  <c r="AH92" i="6" s="1"/>
  <c r="R92" i="6"/>
  <c r="AH91" i="6"/>
  <c r="AG91" i="6"/>
  <c r="R91" i="6"/>
  <c r="AH87" i="6"/>
  <c r="AG87" i="6"/>
  <c r="R87" i="6"/>
  <c r="D87" i="6"/>
  <c r="AG86" i="6"/>
  <c r="R86" i="6"/>
  <c r="AG85" i="6"/>
  <c r="AH85" i="6" s="1"/>
  <c r="R85" i="6"/>
  <c r="AG84" i="6"/>
  <c r="AG83" i="6"/>
  <c r="AH83" i="6" s="1"/>
  <c r="R83" i="6"/>
  <c r="AG82" i="6"/>
  <c r="AG81" i="6"/>
  <c r="AH81" i="6" s="1"/>
  <c r="R81" i="6"/>
  <c r="AG78" i="6"/>
  <c r="AG77" i="6"/>
  <c r="AH77" i="6" s="1"/>
  <c r="R77" i="6"/>
  <c r="D77" i="6"/>
  <c r="AG76" i="6"/>
  <c r="R76" i="6"/>
  <c r="D76" i="6"/>
  <c r="AG75" i="6"/>
  <c r="T74" i="6"/>
  <c r="AG74" i="6" s="1"/>
  <c r="AH74" i="6" s="1"/>
  <c r="R74" i="6"/>
  <c r="AG73" i="6"/>
  <c r="AG72" i="6"/>
  <c r="AH72" i="6" s="1"/>
  <c r="R72" i="6"/>
  <c r="AG71" i="6"/>
  <c r="AG70" i="6"/>
  <c r="AH70" i="6" s="1"/>
  <c r="R70" i="6"/>
  <c r="AG67" i="6"/>
  <c r="AG66" i="6"/>
  <c r="AH66" i="6" s="1"/>
  <c r="R66" i="6"/>
  <c r="AG65" i="6"/>
  <c r="AG64" i="6"/>
  <c r="AH64" i="6" s="1"/>
  <c r="R64" i="6"/>
  <c r="AG63" i="6"/>
  <c r="AH63" i="6" s="1"/>
  <c r="R63" i="6"/>
  <c r="AH62" i="6"/>
  <c r="AG62" i="6"/>
  <c r="R62" i="6"/>
  <c r="AG58" i="6"/>
  <c r="AH58" i="6" s="1"/>
  <c r="R58" i="6"/>
  <c r="AG57" i="6"/>
  <c r="AH57" i="6" s="1"/>
  <c r="R57" i="6"/>
  <c r="AG53" i="6"/>
  <c r="AH53" i="6" s="1"/>
  <c r="R53" i="6"/>
  <c r="AH52" i="6"/>
  <c r="AG52" i="6"/>
  <c r="R52" i="6"/>
  <c r="AH51" i="6"/>
  <c r="AG51" i="6"/>
  <c r="R51" i="6"/>
  <c r="AG50" i="6"/>
  <c r="AH50" i="6" s="1"/>
  <c r="R50" i="6"/>
  <c r="AG49" i="6"/>
  <c r="AH49" i="6" s="1"/>
  <c r="R49" i="6"/>
  <c r="AH48" i="6"/>
  <c r="AG48" i="6"/>
  <c r="R48" i="6"/>
  <c r="AG47" i="6"/>
  <c r="AH47" i="6" s="1"/>
  <c r="R47" i="6"/>
  <c r="AG46" i="6"/>
  <c r="AH46" i="6" s="1"/>
  <c r="R46" i="6"/>
  <c r="AG45" i="6"/>
  <c r="AH45" i="6" s="1"/>
  <c r="R45" i="6"/>
  <c r="AH44" i="6"/>
  <c r="AG44" i="6"/>
  <c r="R44" i="6"/>
  <c r="AH43" i="6"/>
  <c r="AG43" i="6"/>
  <c r="R43" i="6"/>
  <c r="AG42" i="6"/>
  <c r="AH42" i="6" s="1"/>
  <c r="R42" i="6"/>
  <c r="AG41" i="6"/>
  <c r="AH41" i="6" s="1"/>
  <c r="R41" i="6"/>
  <c r="AH40" i="6"/>
  <c r="AG40" i="6"/>
  <c r="R40" i="6"/>
  <c r="AG37" i="6"/>
  <c r="AH37" i="6" s="1"/>
  <c r="R37" i="6"/>
  <c r="AG36" i="6"/>
  <c r="AH36" i="6" s="1"/>
  <c r="R36" i="6"/>
  <c r="AG35" i="6"/>
  <c r="AH35" i="6" s="1"/>
  <c r="R35" i="6"/>
  <c r="AH34" i="6"/>
  <c r="AG34" i="6"/>
  <c r="R34" i="6"/>
  <c r="AH33" i="6"/>
  <c r="AG33" i="6"/>
  <c r="R33" i="6"/>
  <c r="AG32" i="6"/>
  <c r="AH32" i="6" s="1"/>
  <c r="R32" i="6"/>
  <c r="AG31" i="6"/>
  <c r="AH31" i="6" s="1"/>
  <c r="R31" i="6"/>
  <c r="AH30" i="6"/>
  <c r="AG30" i="6"/>
  <c r="R30" i="6"/>
  <c r="AG29" i="6"/>
  <c r="AH29" i="6" s="1"/>
  <c r="R29" i="6"/>
  <c r="AG28" i="6"/>
  <c r="AH28" i="6" s="1"/>
  <c r="R28" i="6"/>
  <c r="AG24" i="6"/>
  <c r="AH24" i="6" s="1"/>
  <c r="R24" i="6"/>
  <c r="AH23" i="6"/>
  <c r="AG23" i="6"/>
  <c r="R23" i="6"/>
  <c r="AH22" i="6"/>
  <c r="AG22" i="6"/>
  <c r="R22" i="6"/>
  <c r="AG21" i="6"/>
  <c r="AH21" i="6" s="1"/>
  <c r="R21" i="6"/>
  <c r="AG20" i="6"/>
  <c r="AH20" i="6" s="1"/>
  <c r="R20" i="6"/>
  <c r="AH19" i="6"/>
  <c r="AG19" i="6"/>
  <c r="R19" i="6"/>
  <c r="AG18" i="6"/>
  <c r="AH18" i="6" s="1"/>
  <c r="R18" i="6"/>
  <c r="AG17" i="6"/>
  <c r="AH17" i="6" s="1"/>
  <c r="R17" i="6"/>
  <c r="AG16" i="6"/>
  <c r="AH16" i="6" s="1"/>
  <c r="R16" i="6"/>
  <c r="AH15" i="6"/>
  <c r="AG15" i="6"/>
  <c r="R15" i="6"/>
  <c r="AH14" i="6"/>
  <c r="AG14" i="6"/>
  <c r="R14" i="6"/>
  <c r="AG13" i="6"/>
  <c r="AH13" i="6" s="1"/>
  <c r="R13" i="6"/>
  <c r="AG12" i="6"/>
  <c r="AH12" i="6" s="1"/>
  <c r="R12" i="6"/>
  <c r="AH11" i="6"/>
  <c r="AG11" i="6"/>
  <c r="R11" i="6"/>
  <c r="AG10" i="6"/>
  <c r="AH10" i="6" s="1"/>
  <c r="R10" i="6"/>
  <c r="AG6" i="6"/>
  <c r="AH6" i="6" s="1"/>
  <c r="R6" i="6"/>
  <c r="AG5" i="6"/>
  <c r="AH5" i="6" s="1"/>
  <c r="R5" i="6"/>
  <c r="AH4" i="6"/>
  <c r="AG4" i="6"/>
  <c r="R4" i="6"/>
  <c r="G269" i="1" l="1"/>
  <c r="G273" i="1"/>
  <c r="F415" i="1"/>
  <c r="E415" i="1"/>
  <c r="D415" i="1"/>
  <c r="F266" i="1" l="1"/>
  <c r="F446" i="1"/>
  <c r="F105" i="1" l="1"/>
  <c r="F595" i="1" l="1"/>
  <c r="F583" i="1"/>
  <c r="F566" i="1" l="1"/>
  <c r="F561" i="1"/>
  <c r="E555" i="1"/>
  <c r="F555" i="1"/>
  <c r="D555" i="1"/>
  <c r="F550" i="1"/>
  <c r="F544" i="1"/>
  <c r="F533" i="1"/>
  <c r="F528" i="1"/>
  <c r="E522" i="1"/>
  <c r="F522" i="1"/>
  <c r="D522" i="1"/>
  <c r="F512" i="1"/>
  <c r="F506" i="1"/>
  <c r="F501" i="1"/>
  <c r="F495" i="1"/>
  <c r="F490" i="1"/>
  <c r="F485" i="1"/>
  <c r="F480" i="1"/>
  <c r="F474" i="1"/>
  <c r="F469" i="1"/>
  <c r="E469" i="1"/>
  <c r="D469" i="1"/>
  <c r="F464" i="1"/>
  <c r="F457" i="1"/>
  <c r="F459" i="1" s="1"/>
  <c r="F517" i="1"/>
  <c r="F270" i="1"/>
  <c r="E266" i="1"/>
  <c r="F409" i="1"/>
  <c r="F420" i="1"/>
  <c r="D266" i="1"/>
  <c r="F401" i="1"/>
  <c r="F402" i="1" s="1"/>
  <c r="F395" i="1"/>
  <c r="F396" i="1" s="1"/>
  <c r="F386" i="1"/>
  <c r="F379" i="1"/>
  <c r="F372" i="1"/>
  <c r="F373" i="1" s="1"/>
  <c r="F367" i="1"/>
  <c r="F368" i="1" s="1"/>
  <c r="F362" i="1"/>
  <c r="F357" i="1"/>
  <c r="F349" i="1"/>
  <c r="F343" i="1"/>
  <c r="F337" i="1"/>
  <c r="F329" i="1"/>
  <c r="F320" i="1"/>
  <c r="F319" i="1"/>
  <c r="F318" i="1"/>
  <c r="F104" i="1"/>
  <c r="D308" i="1"/>
  <c r="D314" i="1" s="1"/>
  <c r="F314" i="1"/>
  <c r="F300" i="1"/>
  <c r="F292" i="1"/>
  <c r="F287" i="1"/>
  <c r="F282" i="1"/>
  <c r="F271" i="1"/>
  <c r="F259" i="1"/>
  <c r="F264" i="1" s="1"/>
  <c r="F242" i="1"/>
  <c r="F241" i="1"/>
  <c r="F223" i="1"/>
  <c r="F220" i="1"/>
  <c r="Q14" i="4"/>
  <c r="F205" i="1"/>
  <c r="F189" i="1"/>
  <c r="F188" i="1"/>
  <c r="F183" i="1"/>
  <c r="F165" i="1"/>
  <c r="F170" i="1" s="1"/>
  <c r="F150" i="1"/>
  <c r="F143" i="1"/>
  <c r="F141" i="1"/>
  <c r="F140" i="1"/>
  <c r="D129" i="1"/>
  <c r="F123" i="1"/>
  <c r="F125" i="1" s="1"/>
  <c r="P71" i="4"/>
  <c r="R69" i="4"/>
  <c r="Q61" i="4"/>
  <c r="P61" i="4"/>
  <c r="F83" i="1"/>
  <c r="F61" i="1"/>
  <c r="F44" i="1"/>
  <c r="F43" i="1"/>
  <c r="F151" i="1" l="1"/>
  <c r="F191" i="1"/>
  <c r="F321" i="1"/>
  <c r="F248" i="1"/>
  <c r="F111" i="1"/>
  <c r="F226" i="1"/>
  <c r="L21" i="4"/>
  <c r="F87" i="1" l="1"/>
  <c r="F66" i="1"/>
  <c r="F46" i="1"/>
  <c r="F38" i="1"/>
  <c r="E38" i="1"/>
  <c r="F28" i="1"/>
  <c r="F272" i="1" s="1"/>
  <c r="E28" i="1"/>
  <c r="F269" i="1" l="1"/>
  <c r="F273" i="1" s="1"/>
  <c r="R94" i="4"/>
  <c r="K96" i="4" l="1"/>
  <c r="J96" i="4"/>
  <c r="K95" i="4"/>
  <c r="L94" i="4"/>
  <c r="R93" i="4"/>
  <c r="Q93" i="4"/>
  <c r="P93" i="4"/>
  <c r="O93" i="4"/>
  <c r="N93" i="4"/>
  <c r="K93" i="4"/>
  <c r="R92" i="4"/>
  <c r="Q92" i="4"/>
  <c r="P92" i="4"/>
  <c r="O92" i="4"/>
  <c r="N92" i="4"/>
  <c r="R91" i="4"/>
  <c r="N91" i="4"/>
  <c r="J91" i="4"/>
  <c r="R90" i="4"/>
  <c r="N90" i="4"/>
  <c r="R89" i="4"/>
  <c r="Q89" i="4"/>
  <c r="P89" i="4"/>
  <c r="O89" i="4"/>
  <c r="N89" i="4"/>
  <c r="K86" i="4"/>
  <c r="J86" i="4"/>
  <c r="S86" i="4" s="1"/>
  <c r="R85" i="4"/>
  <c r="N85" i="4"/>
  <c r="J85" i="4"/>
  <c r="R84" i="4"/>
  <c r="N84" i="4"/>
  <c r="K84" i="4"/>
  <c r="R83" i="4"/>
  <c r="O87" i="4"/>
  <c r="N83" i="4"/>
  <c r="K80" i="4"/>
  <c r="J80" i="4"/>
  <c r="R78" i="4"/>
  <c r="N78" i="4"/>
  <c r="R77" i="4"/>
  <c r="N77" i="4"/>
  <c r="K77" i="4"/>
  <c r="R76" i="4"/>
  <c r="Q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N73" i="4"/>
  <c r="R72" i="4"/>
  <c r="Q72" i="4"/>
  <c r="P72" i="4"/>
  <c r="O72" i="4"/>
  <c r="N72" i="4"/>
  <c r="R71" i="4"/>
  <c r="Q71" i="4"/>
  <c r="O71" i="4"/>
  <c r="N71" i="4"/>
  <c r="N69" i="4"/>
  <c r="R68" i="4"/>
  <c r="N68" i="4"/>
  <c r="R67" i="4"/>
  <c r="Q67" i="4"/>
  <c r="P67" i="4"/>
  <c r="O67" i="4"/>
  <c r="N67" i="4"/>
  <c r="L67" i="4"/>
  <c r="R65" i="4"/>
  <c r="P65" i="4"/>
  <c r="O65" i="4"/>
  <c r="N65" i="4"/>
  <c r="R64" i="4"/>
  <c r="N64" i="4"/>
  <c r="N63" i="4"/>
  <c r="J62" i="4"/>
  <c r="R61" i="4"/>
  <c r="N61" i="4"/>
  <c r="Q49" i="4"/>
  <c r="P49" i="4"/>
  <c r="O49" i="4"/>
  <c r="N47" i="4"/>
  <c r="R46" i="4"/>
  <c r="R49" i="4" s="1"/>
  <c r="N46" i="4"/>
  <c r="R40" i="4"/>
  <c r="N40" i="4"/>
  <c r="R39" i="4"/>
  <c r="Q39" i="4"/>
  <c r="Q42" i="4" s="1"/>
  <c r="P39" i="4"/>
  <c r="P42" i="4" s="1"/>
  <c r="O39" i="4"/>
  <c r="O42" i="4" s="1"/>
  <c r="N39" i="4"/>
  <c r="R37" i="4"/>
  <c r="Q37" i="4"/>
  <c r="P37" i="4"/>
  <c r="O37" i="4"/>
  <c r="N37" i="4"/>
  <c r="L37" i="4"/>
  <c r="K37" i="4"/>
  <c r="R22" i="4"/>
  <c r="Q22" i="4"/>
  <c r="P22" i="4"/>
  <c r="O22" i="4"/>
  <c r="N22" i="4"/>
  <c r="Q19" i="4"/>
  <c r="P19" i="4"/>
  <c r="O19" i="4"/>
  <c r="R18" i="4"/>
  <c r="R19" i="4" s="1"/>
  <c r="N18" i="4"/>
  <c r="N19" i="4" s="1"/>
  <c r="L18" i="4"/>
  <c r="O16" i="4"/>
  <c r="R15" i="4"/>
  <c r="N15" i="4"/>
  <c r="R14" i="4"/>
  <c r="P14" i="4"/>
  <c r="N14" i="4"/>
  <c r="J14" i="4"/>
  <c r="R13" i="4"/>
  <c r="N13" i="4"/>
  <c r="L13" i="4"/>
  <c r="R12" i="4"/>
  <c r="P12" i="4"/>
  <c r="N12" i="4"/>
  <c r="I10" i="4"/>
  <c r="R6" i="4"/>
  <c r="N6" i="4"/>
  <c r="J6" i="4"/>
  <c r="R5" i="4"/>
  <c r="N5" i="4"/>
  <c r="R4" i="4"/>
  <c r="Q4" i="4"/>
  <c r="Q7" i="4" s="1"/>
  <c r="P4" i="4"/>
  <c r="P7" i="4" s="1"/>
  <c r="O4" i="4"/>
  <c r="O7" i="4" s="1"/>
  <c r="N4" i="4"/>
  <c r="L4" i="2"/>
  <c r="O4" i="2" s="1"/>
  <c r="P81" i="4" l="1"/>
  <c r="R81" i="4"/>
  <c r="N81" i="4"/>
  <c r="D31" i="1"/>
  <c r="J41" i="4"/>
  <c r="J45" i="4"/>
  <c r="S45" i="4" s="1"/>
  <c r="K4" i="4"/>
  <c r="K12" i="4"/>
  <c r="L12" i="4"/>
  <c r="J5" i="4"/>
  <c r="K89" i="4"/>
  <c r="L89" i="4"/>
  <c r="S96" i="4"/>
  <c r="Q87" i="4"/>
  <c r="R16" i="4"/>
  <c r="N7" i="4"/>
  <c r="J9" i="4"/>
  <c r="J10" i="4" s="1"/>
  <c r="L6" i="4"/>
  <c r="R42" i="4"/>
  <c r="J13" i="4"/>
  <c r="N42" i="4"/>
  <c r="L5" i="4"/>
  <c r="L72" i="4"/>
  <c r="R7" i="4"/>
  <c r="J77" i="4"/>
  <c r="N87" i="4"/>
  <c r="O97" i="4"/>
  <c r="P97" i="4"/>
  <c r="J94" i="4"/>
  <c r="I7" i="4"/>
  <c r="N16" i="4"/>
  <c r="P87" i="4"/>
  <c r="Q97" i="4"/>
  <c r="J93" i="4"/>
  <c r="P16" i="4"/>
  <c r="Q16" i="4"/>
  <c r="R87" i="4"/>
  <c r="N97" i="4"/>
  <c r="R97" i="4"/>
  <c r="J27" i="4"/>
  <c r="S27" i="4" s="1"/>
  <c r="J31" i="4"/>
  <c r="S31" i="4" s="1"/>
  <c r="J35" i="4"/>
  <c r="S35" i="4" s="1"/>
  <c r="L39" i="4"/>
  <c r="J39" i="4"/>
  <c r="I42" i="4"/>
  <c r="K39" i="4"/>
  <c r="L40" i="4"/>
  <c r="J40" i="4"/>
  <c r="K40" i="4"/>
  <c r="L61" i="4"/>
  <c r="J61" i="4"/>
  <c r="K61" i="4"/>
  <c r="L63" i="4"/>
  <c r="J63" i="4"/>
  <c r="K63" i="4"/>
  <c r="L64" i="4"/>
  <c r="J64" i="4"/>
  <c r="K64" i="4"/>
  <c r="L15" i="4"/>
  <c r="J15" i="4"/>
  <c r="K15" i="4"/>
  <c r="J25" i="4"/>
  <c r="S25" i="4" s="1"/>
  <c r="J29" i="4"/>
  <c r="S29" i="4" s="1"/>
  <c r="J33" i="4"/>
  <c r="S33" i="4" s="1"/>
  <c r="K18" i="4"/>
  <c r="K19" i="4" s="1"/>
  <c r="M19" i="4"/>
  <c r="I22" i="4"/>
  <c r="M22" i="4"/>
  <c r="J21" i="4"/>
  <c r="J22" i="4" s="1"/>
  <c r="I37" i="4"/>
  <c r="I49" i="4"/>
  <c r="J44" i="4"/>
  <c r="K46" i="4"/>
  <c r="L46" i="4"/>
  <c r="L47" i="4"/>
  <c r="J47" i="4"/>
  <c r="L48" i="4"/>
  <c r="J48" i="4"/>
  <c r="L65" i="4"/>
  <c r="J65" i="4"/>
  <c r="K66" i="4"/>
  <c r="J66" i="4"/>
  <c r="K68" i="4"/>
  <c r="J68" i="4"/>
  <c r="L71" i="4"/>
  <c r="J71" i="4"/>
  <c r="K71" i="4"/>
  <c r="K73" i="4"/>
  <c r="J73" i="4"/>
  <c r="L75" i="4"/>
  <c r="J75" i="4"/>
  <c r="K75" i="4"/>
  <c r="I87" i="4"/>
  <c r="L83" i="4"/>
  <c r="J83" i="4"/>
  <c r="K90" i="4"/>
  <c r="J90" i="4"/>
  <c r="K92" i="4"/>
  <c r="J92" i="4"/>
  <c r="I97" i="4"/>
  <c r="L4" i="4"/>
  <c r="J4" i="4"/>
  <c r="J12" i="4"/>
  <c r="K14" i="4"/>
  <c r="L14" i="4"/>
  <c r="J18" i="4"/>
  <c r="J19" i="4" s="1"/>
  <c r="I19" i="4"/>
  <c r="K21" i="4"/>
  <c r="K22" i="4" s="1"/>
  <c r="J24" i="4"/>
  <c r="J26" i="4"/>
  <c r="S26" i="4" s="1"/>
  <c r="J28" i="4"/>
  <c r="S28" i="4" s="1"/>
  <c r="J30" i="4"/>
  <c r="S30" i="4" s="1"/>
  <c r="J32" i="4"/>
  <c r="S32" i="4" s="1"/>
  <c r="J34" i="4"/>
  <c r="S34" i="4" s="1"/>
  <c r="J36" i="4"/>
  <c r="S36" i="4" s="1"/>
  <c r="K41" i="4"/>
  <c r="L41" i="4"/>
  <c r="J46" i="4"/>
  <c r="N49" i="4"/>
  <c r="K47" i="4"/>
  <c r="K48" i="4"/>
  <c r="Q81" i="4"/>
  <c r="K62" i="4"/>
  <c r="L62" i="4"/>
  <c r="K65" i="4"/>
  <c r="K67" i="4"/>
  <c r="J67" i="4"/>
  <c r="L68" i="4"/>
  <c r="K72" i="4"/>
  <c r="J72" i="4"/>
  <c r="L73" i="4"/>
  <c r="L74" i="4"/>
  <c r="J74" i="4"/>
  <c r="K74" i="4"/>
  <c r="K83" i="4"/>
  <c r="L84" i="4"/>
  <c r="J84" i="4"/>
  <c r="L90" i="4"/>
  <c r="K5" i="4"/>
  <c r="K6" i="4"/>
  <c r="K13" i="4"/>
  <c r="O81" i="4"/>
  <c r="O99" i="4" s="1"/>
  <c r="L77" i="4"/>
  <c r="S80" i="4"/>
  <c r="K85" i="4"/>
  <c r="L85" i="4"/>
  <c r="J89" i="4"/>
  <c r="K91" i="4"/>
  <c r="L91" i="4"/>
  <c r="L93" i="4"/>
  <c r="L95" i="4"/>
  <c r="J95" i="4"/>
  <c r="K94" i="4"/>
  <c r="P99" i="4" l="1"/>
  <c r="N99" i="4"/>
  <c r="R99" i="4"/>
  <c r="Q99" i="4"/>
  <c r="I99" i="4"/>
  <c r="S9" i="4"/>
  <c r="S10" i="4" s="1"/>
  <c r="S94" i="4"/>
  <c r="L78" i="4"/>
  <c r="K78" i="4"/>
  <c r="J78" i="4"/>
  <c r="L76" i="4"/>
  <c r="K76" i="4"/>
  <c r="J76" i="4"/>
  <c r="L69" i="4"/>
  <c r="K69" i="4"/>
  <c r="J69" i="4"/>
  <c r="D32" i="1"/>
  <c r="S13" i="4"/>
  <c r="S12" i="4"/>
  <c r="J7" i="4"/>
  <c r="S6" i="4"/>
  <c r="S95" i="4"/>
  <c r="M7" i="4"/>
  <c r="J16" i="4"/>
  <c r="S92" i="4"/>
  <c r="S15" i="4"/>
  <c r="S71" i="4"/>
  <c r="S77" i="4"/>
  <c r="S73" i="4"/>
  <c r="S72" i="4"/>
  <c r="J97" i="4"/>
  <c r="S41" i="4"/>
  <c r="S64" i="4"/>
  <c r="S62" i="4"/>
  <c r="S65" i="4"/>
  <c r="S91" i="4"/>
  <c r="S14" i="4"/>
  <c r="S48" i="4"/>
  <c r="S40" i="4"/>
  <c r="S63" i="4"/>
  <c r="S85" i="4"/>
  <c r="S46" i="4"/>
  <c r="S47" i="4"/>
  <c r="S66" i="4"/>
  <c r="S90" i="4"/>
  <c r="S68" i="4"/>
  <c r="M87" i="4"/>
  <c r="K7" i="4"/>
  <c r="S74" i="4"/>
  <c r="M16" i="4"/>
  <c r="S93" i="4"/>
  <c r="S84" i="4"/>
  <c r="K97" i="4"/>
  <c r="S75" i="4"/>
  <c r="S89" i="4"/>
  <c r="K87" i="4"/>
  <c r="S4" i="4"/>
  <c r="K49" i="4"/>
  <c r="J49" i="4"/>
  <c r="S21" i="4"/>
  <c r="S22" i="4" s="1"/>
  <c r="S18" i="4"/>
  <c r="S19" i="4" s="1"/>
  <c r="K16" i="4"/>
  <c r="K42" i="4"/>
  <c r="J42" i="4"/>
  <c r="S39" i="4"/>
  <c r="M97" i="4"/>
  <c r="S67" i="4"/>
  <c r="S44" i="4"/>
  <c r="J37" i="4"/>
  <c r="S5" i="4"/>
  <c r="J87" i="4"/>
  <c r="S83" i="4"/>
  <c r="M49" i="4"/>
  <c r="S24" i="4"/>
  <c r="S37" i="4" s="1"/>
  <c r="S61" i="4"/>
  <c r="M42" i="4"/>
  <c r="S78" i="4" l="1"/>
  <c r="J81" i="4"/>
  <c r="J99" i="4" s="1"/>
  <c r="K81" i="4"/>
  <c r="K99" i="4" s="1"/>
  <c r="M81" i="4"/>
  <c r="L99" i="4" s="1"/>
  <c r="S76" i="4"/>
  <c r="S69" i="4"/>
  <c r="S81" i="4" s="1"/>
  <c r="S16" i="4"/>
  <c r="S42" i="4"/>
  <c r="S97" i="4"/>
  <c r="S49" i="4"/>
  <c r="S87" i="4"/>
  <c r="S7" i="4"/>
  <c r="S99" i="4" l="1"/>
  <c r="E314" i="1"/>
  <c r="E270" i="1" l="1"/>
  <c r="R15" i="2" l="1"/>
  <c r="I9" i="2"/>
  <c r="L88" i="2"/>
  <c r="L89" i="2"/>
  <c r="L62" i="2"/>
  <c r="L45" i="2"/>
  <c r="L21" i="2"/>
  <c r="O21" i="2" s="1"/>
  <c r="L13" i="2"/>
  <c r="O13" i="2" s="1"/>
  <c r="L12" i="2"/>
  <c r="O12" i="2" s="1"/>
  <c r="L9" i="2"/>
  <c r="L5" i="2"/>
  <c r="O5" i="2" s="1"/>
  <c r="L6" i="2"/>
  <c r="O6" i="2" s="1"/>
  <c r="R87" i="2"/>
  <c r="S87" i="2"/>
  <c r="R86" i="2"/>
  <c r="S86" i="2"/>
  <c r="T83" i="2"/>
  <c r="R83" i="2"/>
  <c r="S83" i="2"/>
  <c r="T78" i="2"/>
  <c r="S78" i="2"/>
  <c r="T77" i="2"/>
  <c r="R77" i="2"/>
  <c r="S77" i="2"/>
  <c r="R72" i="2"/>
  <c r="R73" i="2"/>
  <c r="S73" i="2"/>
  <c r="T72" i="2"/>
  <c r="S72" i="2"/>
  <c r="R71" i="2"/>
  <c r="R70" i="2"/>
  <c r="S70" i="2"/>
  <c r="T69" i="2"/>
  <c r="R69" i="2"/>
  <c r="S69" i="2"/>
  <c r="T67" i="2"/>
  <c r="R67" i="2"/>
  <c r="S67" i="2"/>
  <c r="T66" i="2"/>
  <c r="R66" i="2"/>
  <c r="T63" i="2"/>
  <c r="R63" i="2"/>
  <c r="S63" i="2"/>
  <c r="R61" i="2"/>
  <c r="S61" i="2"/>
  <c r="T60" i="2"/>
  <c r="R60" i="2"/>
  <c r="S60" i="2"/>
  <c r="T59" i="2"/>
  <c r="R59" i="2"/>
  <c r="S59" i="2"/>
  <c r="T57" i="2"/>
  <c r="S57" i="2"/>
  <c r="T54" i="2"/>
  <c r="S54" i="2"/>
  <c r="T51" i="2"/>
  <c r="R51" i="2"/>
  <c r="S51" i="2"/>
  <c r="T39" i="2"/>
  <c r="R39" i="2"/>
  <c r="S39" i="2"/>
  <c r="T14" i="2"/>
  <c r="S14" i="2"/>
  <c r="T12" i="2"/>
  <c r="S12" i="2"/>
  <c r="T4" i="2"/>
  <c r="R4" i="2"/>
  <c r="S4" i="2"/>
  <c r="D571" i="1" l="1"/>
  <c r="D572" i="1" s="1"/>
  <c r="D577" i="1"/>
  <c r="D578" i="1" s="1"/>
  <c r="E271" i="1" l="1"/>
  <c r="E595" i="1"/>
  <c r="E583" i="1"/>
  <c r="E566" i="1"/>
  <c r="E561" i="1"/>
  <c r="E549" i="1"/>
  <c r="E550" i="1" s="1"/>
  <c r="E544" i="1"/>
  <c r="E533" i="1"/>
  <c r="E528" i="1"/>
  <c r="E516" i="1"/>
  <c r="E517" i="1" s="1"/>
  <c r="E512" i="1"/>
  <c r="E506" i="1"/>
  <c r="E501" i="1"/>
  <c r="E495" i="1"/>
  <c r="E485" i="1"/>
  <c r="E490" i="1"/>
  <c r="E480" i="1"/>
  <c r="E474" i="1"/>
  <c r="E464" i="1"/>
  <c r="E456" i="1"/>
  <c r="E459" i="1" s="1"/>
  <c r="E446" i="1"/>
  <c r="E420" i="1"/>
  <c r="E406" i="1"/>
  <c r="E409" i="1" s="1"/>
  <c r="E401" i="1"/>
  <c r="E402" i="1" s="1"/>
  <c r="E396" i="1"/>
  <c r="E386" i="1"/>
  <c r="E379" i="1"/>
  <c r="D379" i="1"/>
  <c r="E372" i="1"/>
  <c r="E373" i="1" s="1"/>
  <c r="E368" i="1"/>
  <c r="D362" i="1"/>
  <c r="E362" i="1"/>
  <c r="E357" i="1"/>
  <c r="E349" i="1"/>
  <c r="E343" i="1"/>
  <c r="E337" i="1"/>
  <c r="E329" i="1"/>
  <c r="E320" i="1"/>
  <c r="E318" i="1"/>
  <c r="E300" i="1"/>
  <c r="E292" i="1"/>
  <c r="E287" i="1"/>
  <c r="E282" i="1"/>
  <c r="E264" i="1"/>
  <c r="E242" i="1"/>
  <c r="E248" i="1" s="1"/>
  <c r="E226" i="1"/>
  <c r="E205" i="1"/>
  <c r="E185" i="1"/>
  <c r="E191" i="1" s="1"/>
  <c r="E170" i="1"/>
  <c r="E150" i="1"/>
  <c r="E143" i="1"/>
  <c r="E142" i="1"/>
  <c r="E125" i="1"/>
  <c r="E105" i="1"/>
  <c r="E104" i="1"/>
  <c r="E87" i="1"/>
  <c r="E66" i="1"/>
  <c r="E46" i="1"/>
  <c r="E111" i="1" l="1"/>
  <c r="E269" i="1" s="1"/>
  <c r="E321" i="1"/>
  <c r="E151" i="1"/>
  <c r="E272" i="1"/>
  <c r="E273" i="1" l="1"/>
  <c r="I60" i="2"/>
  <c r="I64" i="2" l="1"/>
  <c r="I63" i="2"/>
  <c r="Q22" i="2" l="1"/>
  <c r="R22" i="2"/>
  <c r="S22" i="2"/>
  <c r="T22" i="2"/>
  <c r="U22" i="2"/>
  <c r="U91" i="2"/>
  <c r="T91" i="2"/>
  <c r="S91" i="2"/>
  <c r="Q91" i="2"/>
  <c r="N90" i="2"/>
  <c r="M90" i="2"/>
  <c r="O89" i="2"/>
  <c r="O88" i="2"/>
  <c r="J87" i="2"/>
  <c r="L87" i="2" s="1"/>
  <c r="J86" i="2"/>
  <c r="L86" i="2" s="1"/>
  <c r="J85" i="2"/>
  <c r="L85" i="2" s="1"/>
  <c r="J84" i="2"/>
  <c r="L84" i="2" s="1"/>
  <c r="J83" i="2"/>
  <c r="L83" i="2" s="1"/>
  <c r="U81" i="2"/>
  <c r="T81" i="2"/>
  <c r="S81" i="2"/>
  <c r="Q81" i="2"/>
  <c r="N80" i="2"/>
  <c r="M80" i="2"/>
  <c r="I79" i="2"/>
  <c r="J79" i="2" s="1"/>
  <c r="L79" i="2" s="1"/>
  <c r="I78" i="2"/>
  <c r="R81" i="2"/>
  <c r="I77" i="2"/>
  <c r="J77" i="2" s="1"/>
  <c r="L77" i="2" s="1"/>
  <c r="U75" i="2"/>
  <c r="T75" i="2"/>
  <c r="S75" i="2"/>
  <c r="Q75" i="2"/>
  <c r="N74" i="2"/>
  <c r="M74" i="2"/>
  <c r="I73" i="2"/>
  <c r="I71" i="2"/>
  <c r="I65" i="2"/>
  <c r="I70" i="2"/>
  <c r="J70" i="2" s="1"/>
  <c r="L70" i="2" s="1"/>
  <c r="I69" i="2"/>
  <c r="I68" i="2"/>
  <c r="I67" i="2"/>
  <c r="I66" i="2"/>
  <c r="J66" i="2" s="1"/>
  <c r="L66" i="2" s="1"/>
  <c r="N62" i="2"/>
  <c r="I62" i="2"/>
  <c r="J60" i="2"/>
  <c r="L60" i="2" s="1"/>
  <c r="I59" i="2"/>
  <c r="J59" i="2" s="1"/>
  <c r="L59" i="2" s="1"/>
  <c r="I58" i="2"/>
  <c r="J58" i="2" s="1"/>
  <c r="L58" i="2" s="1"/>
  <c r="I57" i="2"/>
  <c r="U55" i="2"/>
  <c r="T55" i="2"/>
  <c r="S55" i="2"/>
  <c r="Q55" i="2"/>
  <c r="I54" i="2"/>
  <c r="J54" i="2" s="1"/>
  <c r="L54" i="2" s="1"/>
  <c r="I53" i="2"/>
  <c r="I52" i="2"/>
  <c r="J52" i="2" s="1"/>
  <c r="L52" i="2" s="1"/>
  <c r="R55" i="2"/>
  <c r="I51" i="2"/>
  <c r="J51" i="2" s="1"/>
  <c r="L51" i="2" s="1"/>
  <c r="U49" i="2"/>
  <c r="T49" i="2"/>
  <c r="S49" i="2"/>
  <c r="R49" i="2"/>
  <c r="Q49" i="2"/>
  <c r="I48" i="2"/>
  <c r="I47" i="2"/>
  <c r="J47" i="2" s="1"/>
  <c r="L47" i="2" s="1"/>
  <c r="I46" i="2"/>
  <c r="J46" i="2" s="1"/>
  <c r="L46" i="2" s="1"/>
  <c r="M45" i="2"/>
  <c r="V45" i="2" s="1"/>
  <c r="I45" i="2"/>
  <c r="I44" i="2"/>
  <c r="U42" i="2"/>
  <c r="T42" i="2"/>
  <c r="S42" i="2"/>
  <c r="Q42" i="2"/>
  <c r="I41" i="2"/>
  <c r="J41" i="2" s="1"/>
  <c r="L41" i="2" s="1"/>
  <c r="I40" i="2"/>
  <c r="R42" i="2"/>
  <c r="I39" i="2"/>
  <c r="J39" i="2" s="1"/>
  <c r="L39" i="2" s="1"/>
  <c r="O39" i="2" s="1"/>
  <c r="U37" i="2"/>
  <c r="T37" i="2"/>
  <c r="S37" i="2"/>
  <c r="R37" i="2"/>
  <c r="Q37" i="2"/>
  <c r="O37" i="2"/>
  <c r="N37" i="2"/>
  <c r="I36" i="2"/>
  <c r="I35" i="2"/>
  <c r="J35" i="2" s="1"/>
  <c r="L35" i="2" s="1"/>
  <c r="I34" i="2"/>
  <c r="J34" i="2" s="1"/>
  <c r="L34" i="2" s="1"/>
  <c r="I33" i="2"/>
  <c r="I32" i="2"/>
  <c r="I31" i="2"/>
  <c r="I30" i="2"/>
  <c r="I29" i="2"/>
  <c r="I28" i="2"/>
  <c r="I27" i="2"/>
  <c r="J27" i="2" s="1"/>
  <c r="L27" i="2" s="1"/>
  <c r="I26" i="2"/>
  <c r="J26" i="2" s="1"/>
  <c r="L26" i="2" s="1"/>
  <c r="I25" i="2"/>
  <c r="I24" i="2"/>
  <c r="L22" i="2"/>
  <c r="U19" i="2"/>
  <c r="T19" i="2"/>
  <c r="S19" i="2"/>
  <c r="R19" i="2"/>
  <c r="Q19" i="2"/>
  <c r="I18" i="2"/>
  <c r="J18" i="2" s="1"/>
  <c r="L18" i="2" s="1"/>
  <c r="O18" i="2" s="1"/>
  <c r="U16" i="2"/>
  <c r="T16" i="2"/>
  <c r="S16" i="2"/>
  <c r="R16" i="2"/>
  <c r="Q16" i="2"/>
  <c r="I15" i="2"/>
  <c r="J14" i="2"/>
  <c r="L14" i="2" s="1"/>
  <c r="O14" i="2" s="1"/>
  <c r="I12" i="2"/>
  <c r="U7" i="2"/>
  <c r="T7" i="2"/>
  <c r="S7" i="2"/>
  <c r="R7" i="2"/>
  <c r="Q7" i="2"/>
  <c r="I6" i="2"/>
  <c r="I5" i="2"/>
  <c r="N5" i="2" s="1"/>
  <c r="L91" i="2" l="1"/>
  <c r="V74" i="2"/>
  <c r="V90" i="2"/>
  <c r="J69" i="2"/>
  <c r="L69" i="2" s="1"/>
  <c r="N79" i="2"/>
  <c r="V80" i="2"/>
  <c r="N70" i="2"/>
  <c r="J25" i="2"/>
  <c r="L25" i="2" s="1"/>
  <c r="M25" i="2" s="1"/>
  <c r="V25" i="2" s="1"/>
  <c r="M27" i="2"/>
  <c r="V27" i="2" s="1"/>
  <c r="M34" i="2"/>
  <c r="V34" i="2" s="1"/>
  <c r="M35" i="2"/>
  <c r="V35" i="2" s="1"/>
  <c r="J44" i="2"/>
  <c r="L44" i="2" s="1"/>
  <c r="R91" i="2"/>
  <c r="N12" i="2"/>
  <c r="J71" i="2"/>
  <c r="L71" i="2" s="1"/>
  <c r="J65" i="2"/>
  <c r="J31" i="2"/>
  <c r="L31" i="2" s="1"/>
  <c r="M31" i="2" s="1"/>
  <c r="V31" i="2" s="1"/>
  <c r="R75" i="2"/>
  <c r="M77" i="2"/>
  <c r="J32" i="2"/>
  <c r="L32" i="2" s="1"/>
  <c r="M32" i="2" s="1"/>
  <c r="V32" i="2" s="1"/>
  <c r="J72" i="2"/>
  <c r="L72" i="2" s="1"/>
  <c r="O72" i="2" s="1"/>
  <c r="M46" i="2"/>
  <c r="M21" i="2"/>
  <c r="M22" i="2" s="1"/>
  <c r="N18" i="2"/>
  <c r="N19" i="2" s="1"/>
  <c r="P22" i="2"/>
  <c r="J24" i="2"/>
  <c r="L24" i="2" s="1"/>
  <c r="J63" i="2"/>
  <c r="L63" i="2" s="1"/>
  <c r="J68" i="2"/>
  <c r="L68" i="2" s="1"/>
  <c r="J78" i="2"/>
  <c r="L78" i="2" s="1"/>
  <c r="M84" i="2"/>
  <c r="S93" i="2"/>
  <c r="J33" i="2"/>
  <c r="L33" i="2" s="1"/>
  <c r="M33" i="2" s="1"/>
  <c r="V33" i="2" s="1"/>
  <c r="Q93" i="2"/>
  <c r="N84" i="2"/>
  <c r="M88" i="2"/>
  <c r="T93" i="2"/>
  <c r="J40" i="2"/>
  <c r="L40" i="2" s="1"/>
  <c r="N66" i="2"/>
  <c r="O84" i="2"/>
  <c r="N88" i="2"/>
  <c r="U93" i="2"/>
  <c r="M6" i="2"/>
  <c r="N6" i="2"/>
  <c r="M44" i="2"/>
  <c r="V44" i="2" s="1"/>
  <c r="M60" i="2"/>
  <c r="N60" i="2"/>
  <c r="O60" i="2"/>
  <c r="O41" i="2"/>
  <c r="N41" i="2"/>
  <c r="M41" i="2"/>
  <c r="M54" i="2"/>
  <c r="O54" i="2"/>
  <c r="N54" i="2"/>
  <c r="M58" i="2"/>
  <c r="N58" i="2"/>
  <c r="O58" i="2"/>
  <c r="N85" i="2"/>
  <c r="M85" i="2"/>
  <c r="O85" i="2"/>
  <c r="N86" i="2"/>
  <c r="M86" i="2"/>
  <c r="M39" i="2"/>
  <c r="N39" i="2"/>
  <c r="N51" i="2"/>
  <c r="O51" i="2"/>
  <c r="M51" i="2"/>
  <c r="M59" i="2"/>
  <c r="O59" i="2"/>
  <c r="N59" i="2"/>
  <c r="M87" i="2"/>
  <c r="O87" i="2"/>
  <c r="N87" i="2"/>
  <c r="M9" i="2"/>
  <c r="M10" i="2" s="1"/>
  <c r="L10" i="2"/>
  <c r="O47" i="2"/>
  <c r="N47" i="2"/>
  <c r="M47" i="2"/>
  <c r="N52" i="2"/>
  <c r="O52" i="2"/>
  <c r="M52" i="2"/>
  <c r="M5" i="2"/>
  <c r="M14" i="2"/>
  <c r="M18" i="2"/>
  <c r="M19" i="2" s="1"/>
  <c r="N21" i="2"/>
  <c r="N22" i="2" s="1"/>
  <c r="J28" i="2"/>
  <c r="L28" i="2" s="1"/>
  <c r="M28" i="2" s="1"/>
  <c r="V28" i="2" s="1"/>
  <c r="J36" i="2"/>
  <c r="L36" i="2" s="1"/>
  <c r="M36" i="2" s="1"/>
  <c r="V36" i="2" s="1"/>
  <c r="J67" i="2"/>
  <c r="L67" i="2" s="1"/>
  <c r="J64" i="2"/>
  <c r="L64" i="2" s="1"/>
  <c r="M70" i="2"/>
  <c r="J73" i="2"/>
  <c r="L73" i="2" s="1"/>
  <c r="M83" i="2"/>
  <c r="M4" i="2"/>
  <c r="L7" i="2"/>
  <c r="M13" i="2"/>
  <c r="J30" i="2"/>
  <c r="L30" i="2" s="1"/>
  <c r="M30" i="2" s="1"/>
  <c r="V30" i="2" s="1"/>
  <c r="O70" i="2"/>
  <c r="O83" i="2"/>
  <c r="N14" i="2"/>
  <c r="N83" i="2"/>
  <c r="N4" i="2"/>
  <c r="N13" i="2"/>
  <c r="M89" i="2"/>
  <c r="M12" i="2"/>
  <c r="J15" i="2"/>
  <c r="J29" i="2"/>
  <c r="L29" i="2" s="1"/>
  <c r="M29" i="2" s="1"/>
  <c r="V29" i="2" s="1"/>
  <c r="J48" i="2"/>
  <c r="L48" i="2" s="1"/>
  <c r="J53" i="2"/>
  <c r="L53" i="2" s="1"/>
  <c r="J57" i="2"/>
  <c r="L57" i="2" s="1"/>
  <c r="J61" i="2"/>
  <c r="L61" i="2" s="1"/>
  <c r="M62" i="2"/>
  <c r="V62" i="2" s="1"/>
  <c r="M79" i="2"/>
  <c r="N89" i="2"/>
  <c r="D485" i="1"/>
  <c r="D480" i="1"/>
  <c r="D528" i="1"/>
  <c r="D561" i="1"/>
  <c r="D533" i="1"/>
  <c r="D595" i="1"/>
  <c r="D517" i="1"/>
  <c r="D512" i="1"/>
  <c r="D506" i="1"/>
  <c r="D501" i="1"/>
  <c r="D550" i="1"/>
  <c r="D495" i="1"/>
  <c r="D490" i="1"/>
  <c r="D583" i="1"/>
  <c r="D566" i="1"/>
  <c r="D544" i="1"/>
  <c r="D474" i="1"/>
  <c r="D464" i="1"/>
  <c r="D446" i="1"/>
  <c r="D409" i="1"/>
  <c r="D402" i="1"/>
  <c r="D386" i="1"/>
  <c r="D420" i="1"/>
  <c r="D396" i="1"/>
  <c r="D373" i="1"/>
  <c r="D368" i="1"/>
  <c r="D357" i="1"/>
  <c r="D349" i="1"/>
  <c r="D343" i="1"/>
  <c r="D337" i="1"/>
  <c r="D329" i="1"/>
  <c r="D321" i="1"/>
  <c r="D300" i="1"/>
  <c r="D292" i="1"/>
  <c r="D287" i="1"/>
  <c r="D282" i="1"/>
  <c r="D125" i="1"/>
  <c r="D28" i="1"/>
  <c r="D87" i="1" l="1"/>
  <c r="D38" i="1"/>
  <c r="D248" i="1"/>
  <c r="L37" i="2"/>
  <c r="O57" i="2"/>
  <c r="M24" i="2"/>
  <c r="V24" i="2" s="1"/>
  <c r="V37" i="2" s="1"/>
  <c r="L15" i="2"/>
  <c r="O15" i="2" s="1"/>
  <c r="P16" i="2" s="1"/>
  <c r="L65" i="2"/>
  <c r="N65" i="2" s="1"/>
  <c r="V59" i="2"/>
  <c r="M26" i="2"/>
  <c r="V26" i="2" s="1"/>
  <c r="M66" i="2"/>
  <c r="V86" i="2"/>
  <c r="V85" i="2"/>
  <c r="O79" i="2"/>
  <c r="V79" i="2" s="1"/>
  <c r="O69" i="2"/>
  <c r="N69" i="2"/>
  <c r="M69" i="2"/>
  <c r="V5" i="2"/>
  <c r="V84" i="2"/>
  <c r="V4" i="2"/>
  <c r="M72" i="2"/>
  <c r="N72" i="2"/>
  <c r="V70" i="2"/>
  <c r="V89" i="2"/>
  <c r="L19" i="2"/>
  <c r="P19" i="2"/>
  <c r="V13" i="2"/>
  <c r="P7" i="2"/>
  <c r="V47" i="2"/>
  <c r="V51" i="2"/>
  <c r="O66" i="2"/>
  <c r="V66" i="2" s="1"/>
  <c r="V41" i="2"/>
  <c r="V88" i="2"/>
  <c r="R93" i="2"/>
  <c r="M71" i="2"/>
  <c r="O71" i="2"/>
  <c r="N71" i="2"/>
  <c r="L42" i="2"/>
  <c r="O40" i="2"/>
  <c r="P42" i="2" s="1"/>
  <c r="M40" i="2"/>
  <c r="M42" i="2" s="1"/>
  <c r="N40" i="2"/>
  <c r="N42" i="2" s="1"/>
  <c r="M78" i="2"/>
  <c r="M81" i="2" s="1"/>
  <c r="O78" i="2"/>
  <c r="N78" i="2"/>
  <c r="N63" i="2"/>
  <c r="O63" i="2"/>
  <c r="M63" i="2"/>
  <c r="N68" i="2"/>
  <c r="O68" i="2"/>
  <c r="M68" i="2"/>
  <c r="V87" i="2"/>
  <c r="V14" i="2"/>
  <c r="N46" i="2"/>
  <c r="N77" i="2"/>
  <c r="L81" i="2"/>
  <c r="V58" i="2"/>
  <c r="V60" i="2"/>
  <c r="V6" i="2"/>
  <c r="O46" i="2"/>
  <c r="O77" i="2"/>
  <c r="V52" i="2"/>
  <c r="N91" i="2"/>
  <c r="V54" i="2"/>
  <c r="O61" i="2"/>
  <c r="N61" i="2"/>
  <c r="M61" i="2"/>
  <c r="O67" i="2"/>
  <c r="N67" i="2"/>
  <c r="M67" i="2"/>
  <c r="O64" i="2"/>
  <c r="N64" i="2"/>
  <c r="M64" i="2"/>
  <c r="O48" i="2"/>
  <c r="N48" i="2"/>
  <c r="M48" i="2"/>
  <c r="M49" i="2" s="1"/>
  <c r="L49" i="2"/>
  <c r="O73" i="2"/>
  <c r="N73" i="2"/>
  <c r="M73" i="2"/>
  <c r="O53" i="2"/>
  <c r="P55" i="2" s="1"/>
  <c r="M53" i="2"/>
  <c r="M55" i="2" s="1"/>
  <c r="N53" i="2"/>
  <c r="N55" i="2" s="1"/>
  <c r="P91" i="2"/>
  <c r="N57" i="2"/>
  <c r="M57" i="2"/>
  <c r="V21" i="2"/>
  <c r="V22" i="2" s="1"/>
  <c r="M7" i="2"/>
  <c r="V9" i="2"/>
  <c r="V10" i="2" s="1"/>
  <c r="V39" i="2"/>
  <c r="L55" i="2"/>
  <c r="V83" i="2"/>
  <c r="N7" i="2"/>
  <c r="M91" i="2"/>
  <c r="V12" i="2"/>
  <c r="M37" i="2" l="1"/>
  <c r="N15" i="2"/>
  <c r="N16" i="2" s="1"/>
  <c r="M15" i="2"/>
  <c r="D264" i="1"/>
  <c r="D170" i="1"/>
  <c r="D205" i="1"/>
  <c r="D151" i="1"/>
  <c r="D46" i="1"/>
  <c r="L16" i="2"/>
  <c r="L75" i="2"/>
  <c r="O65" i="2"/>
  <c r="P75" i="2" s="1"/>
  <c r="M65" i="2"/>
  <c r="M75" i="2" s="1"/>
  <c r="V69" i="2"/>
  <c r="D66" i="1"/>
  <c r="V18" i="2"/>
  <c r="V19" i="2" s="1"/>
  <c r="P81" i="2"/>
  <c r="V7" i="2"/>
  <c r="V72" i="2"/>
  <c r="V77" i="2"/>
  <c r="V73" i="2"/>
  <c r="N81" i="2"/>
  <c r="V71" i="2"/>
  <c r="V91" i="2"/>
  <c r="V48" i="2"/>
  <c r="P49" i="2"/>
  <c r="N49" i="2"/>
  <c r="V40" i="2"/>
  <c r="V42" i="2" s="1"/>
  <c r="V64" i="2"/>
  <c r="V15" i="2"/>
  <c r="V16" i="2" s="1"/>
  <c r="V57" i="2"/>
  <c r="V63" i="2"/>
  <c r="V68" i="2"/>
  <c r="V67" i="2"/>
  <c r="V46" i="2"/>
  <c r="V78" i="2"/>
  <c r="V61" i="2"/>
  <c r="N75" i="2"/>
  <c r="V53" i="2"/>
  <c r="V55" i="2" s="1"/>
  <c r="M16" i="2"/>
  <c r="D226" i="1" l="1"/>
  <c r="V65" i="2"/>
  <c r="V75" i="2" s="1"/>
  <c r="D191" i="1"/>
  <c r="V49" i="2"/>
  <c r="O93" i="2"/>
  <c r="D111" i="1"/>
  <c r="L93" i="2"/>
  <c r="V81" i="2"/>
  <c r="N93" i="2"/>
  <c r="M93" i="2"/>
  <c r="V93" i="2" l="1"/>
  <c r="E590" i="1" l="1"/>
  <c r="G590" i="1"/>
  <c r="D590" i="1"/>
  <c r="F5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Hiram Gonzalez</author>
  </authors>
  <commentList>
    <comment ref="C2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Tyler $26,000
Spectrum $42,000
Jive $10,932
Square $1,164
Lumen-Century $4,260 
Lathem $900.00</t>
        </r>
      </text>
    </comment>
    <comment ref="D2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Mynatt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Hiram Gonzalez</author>
  </authors>
  <commentList>
    <comment ref="U6" authorId="0" shapeId="0" xr:uid="{A3916862-E61B-42B2-8C94-7EBAA52CD5F5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FROM FUND 70200 TO FUND 52300</t>
        </r>
      </text>
    </comment>
    <comment ref="E10" authorId="0" shapeId="0" xr:uid="{73A0CA2E-1D2A-4A54-9CFD-017B3350895B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Cash Forward from FY22</t>
        </r>
      </text>
    </comment>
    <comment ref="Z30" authorId="0" shapeId="0" xr:uid="{C9E5914E-4FA2-4D49-8482-6EC6F02A53BF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Cash Forward from FY22</t>
        </r>
      </text>
    </comment>
    <comment ref="V41" authorId="0" shapeId="0" xr:uid="{22A08628-A473-4FA3-9F8C-9C3B949969A4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MONEY TO COVER FUND 101 OPS</t>
        </r>
      </text>
    </comment>
    <comment ref="W53" authorId="0" shapeId="0" xr:uid="{64C9E84B-8A93-4A72-9A08-F84EDD955F37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</t>
        </r>
      </text>
    </comment>
    <comment ref="U66" authorId="0" shapeId="0" xr:uid="{B1315711-FCCF-4C34-9726-9075FB952F46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CASH</t>
        </r>
      </text>
    </comment>
    <comment ref="W77" authorId="0" shapeId="0" xr:uid="{5A556E67-2020-4192-9968-C91057E5156B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CASH</t>
        </r>
      </text>
    </comment>
    <comment ref="V87" authorId="0" shapeId="0" xr:uid="{C1438DB0-46BA-4BEA-82A4-F35D4C1CE439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IN CASH</t>
        </r>
      </text>
    </comment>
    <comment ref="X94" authorId="0" shapeId="0" xr:uid="{049988F2-3562-458D-8890-DF1333FB1D75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IN CASH</t>
        </r>
      </text>
    </comment>
    <comment ref="U118" authorId="0" shapeId="0" xr:uid="{05C9CC6C-0C51-4025-A8F1-8C6A30B4E490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6" authorId="0" shapeId="0" xr:uid="{96B16366-9186-4E4B-B570-7A7BA1E49A60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FROM FUND 30100 TO FUND 30800</t>
        </r>
      </text>
    </comment>
    <comment ref="V131" authorId="0" shapeId="0" xr:uid="{80EA7AA2-594C-4C34-B4E7-1B8C0417A4AB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IN CASH
</t>
        </r>
      </text>
    </comment>
    <comment ref="W157" authorId="0" shapeId="0" xr:uid="{ECA42908-D54A-4DA4-9E8B-D82677DDF080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
</t>
        </r>
      </text>
    </comment>
    <comment ref="T162" authorId="0" shapeId="0" xr:uid="{396C5268-31E2-4119-9C98-D77FB5A3F883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</t>
        </r>
      </text>
    </comment>
    <comment ref="U174" authorId="0" shapeId="0" xr:uid="{6FAABFE8-DF56-463D-BD47-E5FEC18A2E3C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CASH</t>
        </r>
      </text>
    </comment>
    <comment ref="U181" authorId="0" shapeId="0" xr:uid="{2CCB0872-BB92-4565-ADA6-8F9A156C3EC7}">
      <text>
        <r>
          <rPr>
            <b/>
            <sz val="9"/>
            <color indexed="81"/>
            <rFont val="Tahoma"/>
            <family val="2"/>
          </rPr>
          <t>Hiram Gonzalez:</t>
        </r>
        <r>
          <rPr>
            <sz val="9"/>
            <color indexed="81"/>
            <rFont val="Tahoma"/>
            <family val="2"/>
          </rPr>
          <t xml:space="preserve">
CORRECTION IN CASH</t>
        </r>
      </text>
    </comment>
  </commentList>
</comments>
</file>

<file path=xl/sharedStrings.xml><?xml version="1.0" encoding="utf-8"?>
<sst xmlns="http://schemas.openxmlformats.org/spreadsheetml/2006/main" count="1857" uniqueCount="972">
  <si>
    <t>Account</t>
  </si>
  <si>
    <t>Name</t>
  </si>
  <si>
    <t>GENERAL FUND - REVENUES</t>
  </si>
  <si>
    <t>101-40000</t>
  </si>
  <si>
    <t>MVD TAX</t>
  </si>
  <si>
    <t>101-40100</t>
  </si>
  <si>
    <t>FRANCHISE TAX</t>
  </si>
  <si>
    <t>101-40101</t>
  </si>
  <si>
    <t>SMALL CITIES ASSISTANCE</t>
  </si>
  <si>
    <t>101-40102</t>
  </si>
  <si>
    <t>FIREWORK FEES</t>
  </si>
  <si>
    <t>101-40104</t>
  </si>
  <si>
    <t>PROPERTY TAX</t>
  </si>
  <si>
    <t>101-41500</t>
  </si>
  <si>
    <t>GRT - MUNICIPAL</t>
  </si>
  <si>
    <t>101-41510</t>
  </si>
  <si>
    <t>GRT - INFRASTRUCTURE</t>
  </si>
  <si>
    <t>101-41520</t>
  </si>
  <si>
    <t>GRT - STATE</t>
  </si>
  <si>
    <t>101-41530</t>
  </si>
  <si>
    <t>GRT - INTERSTATE TELECOM</t>
  </si>
  <si>
    <t>101-41540</t>
  </si>
  <si>
    <t>GRT - MUNI EQUIV DIST</t>
  </si>
  <si>
    <t>101-41550</t>
  </si>
  <si>
    <t>GRT - HOLD HARMLESS</t>
  </si>
  <si>
    <t>101-41560</t>
  </si>
  <si>
    <t>GRT - MUNICIPAL RECEIPTS</t>
  </si>
  <si>
    <t>101-41570</t>
  </si>
  <si>
    <t>CMP - MUNICIPAL RECEIPTS</t>
  </si>
  <si>
    <t>101-41580</t>
  </si>
  <si>
    <t>CMP - STATE</t>
  </si>
  <si>
    <t>101-41590</t>
  </si>
  <si>
    <t>ITG - STATE</t>
  </si>
  <si>
    <t>101-41600</t>
  </si>
  <si>
    <t>IRB CN Wire / VCST PILOT</t>
  </si>
  <si>
    <t>101-41800</t>
  </si>
  <si>
    <t>ANIMAL LICENSE PERMITS</t>
  </si>
  <si>
    <t>101-42100</t>
  </si>
  <si>
    <t>CAN - Cannabis Tax</t>
  </si>
  <si>
    <t>101-42200</t>
  </si>
  <si>
    <t>BUSINESS APPLICATION PERMIT</t>
  </si>
  <si>
    <t>101-43300</t>
  </si>
  <si>
    <t>PRINTING &amp; COPYING FEES</t>
  </si>
  <si>
    <t>101-43302</t>
  </si>
  <si>
    <t>MVD FEES</t>
  </si>
  <si>
    <t>101-43303</t>
  </si>
  <si>
    <t>MOTOR VEHICLE AGENT ALLOTMENT</t>
  </si>
  <si>
    <t>101-44100</t>
  </si>
  <si>
    <t>COURT FINES</t>
  </si>
  <si>
    <t>101-48901</t>
  </si>
  <si>
    <t>RENT INCOME</t>
  </si>
  <si>
    <t>101-49700</t>
  </si>
  <si>
    <t>MISCELLANEOUS REVENUE</t>
  </si>
  <si>
    <t>General Fund Total Revenues</t>
  </si>
  <si>
    <t>EXECUTIVE DEPARTMENT</t>
  </si>
  <si>
    <t>101-01-50100</t>
  </si>
  <si>
    <t>Elected Officials</t>
  </si>
  <si>
    <t>101-01-50300</t>
  </si>
  <si>
    <t>FICA-Medicare</t>
  </si>
  <si>
    <t>101-01-60102</t>
  </si>
  <si>
    <t>Conf. Registrations</t>
  </si>
  <si>
    <t>101-01-60110</t>
  </si>
  <si>
    <t>Per Diem &amp; Travel</t>
  </si>
  <si>
    <t>101-01-71300</t>
  </si>
  <si>
    <t>Subscriptions/Dues</t>
  </si>
  <si>
    <t>101-01-71800</t>
  </si>
  <si>
    <t>Hospitality</t>
  </si>
  <si>
    <t xml:space="preserve">Total Department </t>
  </si>
  <si>
    <t>LEGISLATIVE DEPARTMENT</t>
  </si>
  <si>
    <t>101-02-50100</t>
  </si>
  <si>
    <t>101-02-50300</t>
  </si>
  <si>
    <t>101-02-60102</t>
  </si>
  <si>
    <t>101-02-60110</t>
  </si>
  <si>
    <t>101-02-71300</t>
  </si>
  <si>
    <t>CITY CLERK DEPARTMENT</t>
  </si>
  <si>
    <t>101-03-50200</t>
  </si>
  <si>
    <t>Full Time Exempt</t>
  </si>
  <si>
    <t>101-03-50201</t>
  </si>
  <si>
    <t>Full Time Classified</t>
  </si>
  <si>
    <t>101-03-50300</t>
  </si>
  <si>
    <t>101-03-50310</t>
  </si>
  <si>
    <t>State Unemployment</t>
  </si>
  <si>
    <t>101-03-50320</t>
  </si>
  <si>
    <t>Retirement Contributions</t>
  </si>
  <si>
    <t>101-03-50335</t>
  </si>
  <si>
    <t>Workers Comp Fee</t>
  </si>
  <si>
    <t>101-03-50340</t>
  </si>
  <si>
    <t>Health Care</t>
  </si>
  <si>
    <t>101-03-50345</t>
  </si>
  <si>
    <t>Dental Care</t>
  </si>
  <si>
    <t>101-03-50355</t>
  </si>
  <si>
    <t>Vision Care</t>
  </si>
  <si>
    <t>101-03-50500</t>
  </si>
  <si>
    <t>Life Insurance</t>
  </si>
  <si>
    <t>101-03-60102</t>
  </si>
  <si>
    <t>101-03-60110</t>
  </si>
  <si>
    <t>101-03-61110</t>
  </si>
  <si>
    <t>Office Equipment</t>
  </si>
  <si>
    <t>101-03-62400</t>
  </si>
  <si>
    <t>Professional Services - Drug Test</t>
  </si>
  <si>
    <t>101-03-63000</t>
  </si>
  <si>
    <t>Other Contractual Svcs - Record Retention</t>
  </si>
  <si>
    <t>101-03-70900</t>
  </si>
  <si>
    <t>Printing/Publishing/Advertising</t>
  </si>
  <si>
    <t>101-03-71300</t>
  </si>
  <si>
    <t>MUNICIPAL COURT/JUDICIAL DEPARTMENT</t>
  </si>
  <si>
    <t>101-04-50100</t>
  </si>
  <si>
    <t>101-04-50201</t>
  </si>
  <si>
    <t>101-04-50202</t>
  </si>
  <si>
    <t>Part Time Classified</t>
  </si>
  <si>
    <t>Full Time Temporary - Judge</t>
  </si>
  <si>
    <t>101-04-50300</t>
  </si>
  <si>
    <t>101-04-50310</t>
  </si>
  <si>
    <t>101-04-50320</t>
  </si>
  <si>
    <t>101-04-50335</t>
  </si>
  <si>
    <t>101-04-50500</t>
  </si>
  <si>
    <t>101-04-60100</t>
  </si>
  <si>
    <t>Mileage Reimbursement</t>
  </si>
  <si>
    <t>101-04-60102</t>
  </si>
  <si>
    <t>101-04-60110</t>
  </si>
  <si>
    <t>101-04-62400</t>
  </si>
  <si>
    <t>Professional Services</t>
  </si>
  <si>
    <t>101-04-62500</t>
  </si>
  <si>
    <t>Other Contr Svcs</t>
  </si>
  <si>
    <t>101-04-63100</t>
  </si>
  <si>
    <t>Supplies</t>
  </si>
  <si>
    <t>101-04-70800</t>
  </si>
  <si>
    <t>Postage &amp; Mail Services</t>
  </si>
  <si>
    <t>101-04-91200</t>
  </si>
  <si>
    <t>Cap Equip &amp; Mach Exec</t>
  </si>
  <si>
    <t>POLICE DEPARTMENT</t>
  </si>
  <si>
    <t>101-05-50200</t>
  </si>
  <si>
    <t>101-05-50201</t>
  </si>
  <si>
    <t>101-05-50230</t>
  </si>
  <si>
    <t>Overtime FT Class Police</t>
  </si>
  <si>
    <t>101-05-50240</t>
  </si>
  <si>
    <t>On-Call Detective</t>
  </si>
  <si>
    <t>101-05-50300</t>
  </si>
  <si>
    <t>101-05-50310</t>
  </si>
  <si>
    <t>101-05-50320</t>
  </si>
  <si>
    <t>101-05-50335</t>
  </si>
  <si>
    <t>101-05-50340</t>
  </si>
  <si>
    <t>101-05-50345</t>
  </si>
  <si>
    <t>101-05-50355</t>
  </si>
  <si>
    <t>101-05-50500</t>
  </si>
  <si>
    <t>101-05-60102</t>
  </si>
  <si>
    <t>Conf Registration</t>
  </si>
  <si>
    <t>101-05-60110</t>
  </si>
  <si>
    <t>Per Diem &amp; travel</t>
  </si>
  <si>
    <t>101-05-61110</t>
  </si>
  <si>
    <t>Maintenance Vehicle</t>
  </si>
  <si>
    <t>101-05-62600</t>
  </si>
  <si>
    <t>Medical/Psych Tests</t>
  </si>
  <si>
    <t>101-05-63600</t>
  </si>
  <si>
    <t>Ammunition</t>
  </si>
  <si>
    <t>101-05-70200</t>
  </si>
  <si>
    <t>Dispatch Services/MVRDA</t>
  </si>
  <si>
    <t>101-05-70900</t>
  </si>
  <si>
    <t>101-05-71200</t>
  </si>
  <si>
    <t>Rent of Equipment/Machinery</t>
  </si>
  <si>
    <t>101-05-71300</t>
  </si>
  <si>
    <t>101-07-61101</t>
  </si>
  <si>
    <t>Maintenance Parks</t>
  </si>
  <si>
    <t>101-07-63100</t>
  </si>
  <si>
    <t>PUBLIC WORKS/STREETS DEPARTMENT</t>
  </si>
  <si>
    <t>101-08-50201</t>
  </si>
  <si>
    <t>101-08-50230</t>
  </si>
  <si>
    <t>Overtime Full Time Classified</t>
  </si>
  <si>
    <t>101-08-50300</t>
  </si>
  <si>
    <t>101-08-50310</t>
  </si>
  <si>
    <t>101-08-50320</t>
  </si>
  <si>
    <t>101-08-50335</t>
  </si>
  <si>
    <t>101-08-50340</t>
  </si>
  <si>
    <t>101-08-50345</t>
  </si>
  <si>
    <t>101-08-50355</t>
  </si>
  <si>
    <t>101-08-50500</t>
  </si>
  <si>
    <t>101-08-60102</t>
  </si>
  <si>
    <t>101-08-60110</t>
  </si>
  <si>
    <t>101-08-61110</t>
  </si>
  <si>
    <t>101-08-61111</t>
  </si>
  <si>
    <t>Maintenance Equipment</t>
  </si>
  <si>
    <t>101-08-61300</t>
  </si>
  <si>
    <t>Maintenance Grounds/Roadways</t>
  </si>
  <si>
    <t>101-08-61800</t>
  </si>
  <si>
    <t>Other Maintenance</t>
  </si>
  <si>
    <t>101-08-63100</t>
  </si>
  <si>
    <t>101-08-63101</t>
  </si>
  <si>
    <t>Cleaning Supplies</t>
  </si>
  <si>
    <t>101-08-63300</t>
  </si>
  <si>
    <t>Safety Equipment</t>
  </si>
  <si>
    <t>101-08-63400</t>
  </si>
  <si>
    <t>Uniforms</t>
  </si>
  <si>
    <t>101-08-71200</t>
  </si>
  <si>
    <t>101-08-91100</t>
  </si>
  <si>
    <t>Equipment/Machinery</t>
  </si>
  <si>
    <t>101-08-91200</t>
  </si>
  <si>
    <t>Cap Equipment</t>
  </si>
  <si>
    <t>LIBRARY DEPARTMENT</t>
  </si>
  <si>
    <t>101-10-50201</t>
  </si>
  <si>
    <t>101-10-50202</t>
  </si>
  <si>
    <t>101-10-50300</t>
  </si>
  <si>
    <t>FICA-MEDICARE</t>
  </si>
  <si>
    <t>101-10-50310</t>
  </si>
  <si>
    <t>101-10-50320</t>
  </si>
  <si>
    <t>101-10-50335</t>
  </si>
  <si>
    <t>101-10-50340</t>
  </si>
  <si>
    <t>Helth Care</t>
  </si>
  <si>
    <t>101-10-50345</t>
  </si>
  <si>
    <t>101-11-50355</t>
  </si>
  <si>
    <t>101-10-50500</t>
  </si>
  <si>
    <t>101-10-61100</t>
  </si>
  <si>
    <t>Maintenance Building/Structure</t>
  </si>
  <si>
    <t>101-10-63100</t>
  </si>
  <si>
    <t>101-10-63101</t>
  </si>
  <si>
    <t>Cleaning supplies</t>
  </si>
  <si>
    <t>101-10-63102</t>
  </si>
  <si>
    <t xml:space="preserve">Reading program supplies </t>
  </si>
  <si>
    <t>101-10-63500</t>
  </si>
  <si>
    <t>Minor Equipment</t>
  </si>
  <si>
    <t>101-10-70900</t>
  </si>
  <si>
    <t>NEIGHBORHOOD SERVICES DEPARTMENT</t>
  </si>
  <si>
    <t>101-11-50201</t>
  </si>
  <si>
    <t>101-11-50230</t>
  </si>
  <si>
    <t>Overtime FT Class</t>
  </si>
  <si>
    <t>101-11-50300</t>
  </si>
  <si>
    <t>101-11-50310</t>
  </si>
  <si>
    <t>101-11-50320</t>
  </si>
  <si>
    <t>101-11-50335</t>
  </si>
  <si>
    <t>101-11-50340</t>
  </si>
  <si>
    <t>101-11-50345</t>
  </si>
  <si>
    <t>101-11-50500</t>
  </si>
  <si>
    <t>101-11-60102</t>
  </si>
  <si>
    <t>101-11-60110</t>
  </si>
  <si>
    <t>101-11-61110</t>
  </si>
  <si>
    <t>Maintenane Vehicle</t>
  </si>
  <si>
    <t>101-11-61120</t>
  </si>
  <si>
    <t>Animal Control Expense</t>
  </si>
  <si>
    <t>101-11-62400</t>
  </si>
  <si>
    <t>Professional Services (Impound)</t>
  </si>
  <si>
    <t>101-11-63400</t>
  </si>
  <si>
    <t>101-11-63500</t>
  </si>
  <si>
    <t>MOTOR VEHICLE DEPARTMENT</t>
  </si>
  <si>
    <t>101-13-50201</t>
  </si>
  <si>
    <t>101-13-50300</t>
  </si>
  <si>
    <t>101-13-50310</t>
  </si>
  <si>
    <t>101-13-50320</t>
  </si>
  <si>
    <t>101-13-50335</t>
  </si>
  <si>
    <t>101-13-50340</t>
  </si>
  <si>
    <t>101-13-50345</t>
  </si>
  <si>
    <t>101-13-50355</t>
  </si>
  <si>
    <t>101-13-50500</t>
  </si>
  <si>
    <t>101-13-62400</t>
  </si>
  <si>
    <t>FINANCE DEPARTMENT</t>
  </si>
  <si>
    <t>101-14-50201</t>
  </si>
  <si>
    <t>101-14-50300</t>
  </si>
  <si>
    <t>101-14-50310</t>
  </si>
  <si>
    <t>101-14-50320</t>
  </si>
  <si>
    <t>101-14-50335</t>
  </si>
  <si>
    <t>101-14-50340</t>
  </si>
  <si>
    <t>101-14-50345</t>
  </si>
  <si>
    <t>101-14-50355</t>
  </si>
  <si>
    <t>101-14-50500</t>
  </si>
  <si>
    <t>101-14-50360</t>
  </si>
  <si>
    <t>CIVIL LIABILITY INSURANCE</t>
  </si>
  <si>
    <t>101-14-50370</t>
  </si>
  <si>
    <t>WORKERS COMPENSATION INS</t>
  </si>
  <si>
    <t>101-14-50380</t>
  </si>
  <si>
    <t>PROPERTY INSURANCE</t>
  </si>
  <si>
    <t>101-14-60102</t>
  </si>
  <si>
    <t>101-14-60110</t>
  </si>
  <si>
    <t>101-14-62400</t>
  </si>
  <si>
    <t>Professional Services (Auditors)</t>
  </si>
  <si>
    <t>101-14-63100</t>
  </si>
  <si>
    <t>101-14-70800</t>
  </si>
  <si>
    <t>Postage</t>
  </si>
  <si>
    <t>101-14-72000</t>
  </si>
  <si>
    <t>Charges/Penalties/Fees</t>
  </si>
  <si>
    <t>INFORMATION TECHNOLOGY DEPARTMENT</t>
  </si>
  <si>
    <t>101-15-50201</t>
  </si>
  <si>
    <t>101-15-50202</t>
  </si>
  <si>
    <t>101-15-50300</t>
  </si>
  <si>
    <t>101-15-50310</t>
  </si>
  <si>
    <t>101-15-50320</t>
  </si>
  <si>
    <t>101-15-50335</t>
  </si>
  <si>
    <t>101-15-50340</t>
  </si>
  <si>
    <t>101-15-50345</t>
  </si>
  <si>
    <t>101-15-50355</t>
  </si>
  <si>
    <t>101-15-50500</t>
  </si>
  <si>
    <t>101-15-60102</t>
  </si>
  <si>
    <t>Conf. Registriations</t>
  </si>
  <si>
    <t>10115-60110</t>
  </si>
  <si>
    <t>101-15-63000</t>
  </si>
  <si>
    <t>Other Contractural Services</t>
  </si>
  <si>
    <t>101-15-63100</t>
  </si>
  <si>
    <t>101-15-63800</t>
  </si>
  <si>
    <t>IT Services</t>
  </si>
  <si>
    <t>101-15-70900</t>
  </si>
  <si>
    <t>Printing/Publishing/Advertisng</t>
  </si>
  <si>
    <t>101-15-71200</t>
  </si>
  <si>
    <t>101-15-71600</t>
  </si>
  <si>
    <t>Telephone</t>
  </si>
  <si>
    <t>101-15-91200</t>
  </si>
  <si>
    <t>CITY MANAGER</t>
  </si>
  <si>
    <t>101-16-50200</t>
  </si>
  <si>
    <t>101-16-50300</t>
  </si>
  <si>
    <t>101-16-50310</t>
  </si>
  <si>
    <t>101-16-50320</t>
  </si>
  <si>
    <t>101-16-50335</t>
  </si>
  <si>
    <t>101-16-50500</t>
  </si>
  <si>
    <t>101-16-60102</t>
  </si>
  <si>
    <t>101-16-60110</t>
  </si>
  <si>
    <t>101-16-62400</t>
  </si>
  <si>
    <t>101-16-63700</t>
  </si>
  <si>
    <t>Water</t>
  </si>
  <si>
    <t>101-16-71300</t>
  </si>
  <si>
    <t>101-16-71500</t>
  </si>
  <si>
    <t>Fuel</t>
  </si>
  <si>
    <t>Utilities</t>
  </si>
  <si>
    <t>101-52000</t>
  </si>
  <si>
    <t>TRANSFER OUT</t>
  </si>
  <si>
    <t>101-51000</t>
  </si>
  <si>
    <t>TRANSFER IN</t>
  </si>
  <si>
    <t>Total General Fund Expenses</t>
  </si>
  <si>
    <t>Transfer to Other Funds</t>
  </si>
  <si>
    <t>Transfer from Other Funds</t>
  </si>
  <si>
    <t>Total General Fund Revenues</t>
  </si>
  <si>
    <t>Budget Surplus / (Deficit)</t>
  </si>
  <si>
    <t>Special Revenue Funds Managed by the Municipal Court</t>
  </si>
  <si>
    <t>FUND 220: COURT AUTOMATION FUND</t>
  </si>
  <si>
    <t>220-48801</t>
  </si>
  <si>
    <t>Court Auto Fund Reimbursement</t>
  </si>
  <si>
    <t>220-48802</t>
  </si>
  <si>
    <t>Court Automation Fees</t>
  </si>
  <si>
    <t>220-04-60102</t>
  </si>
  <si>
    <t>220-04-63000</t>
  </si>
  <si>
    <t>Other Contractual Svcs</t>
  </si>
  <si>
    <t>220-04-63100</t>
  </si>
  <si>
    <t>Fund Totals</t>
  </si>
  <si>
    <t>FUND 224: JUDICIAL EDUCATION FUND</t>
  </si>
  <si>
    <t>224-48802</t>
  </si>
  <si>
    <t>Judicial Education fund fees</t>
  </si>
  <si>
    <t>224-31-63000</t>
  </si>
  <si>
    <t>Jud Edu fees</t>
  </si>
  <si>
    <t>FUND 225: CORRECTIONS FUND/CARE OF PRISONERS</t>
  </si>
  <si>
    <t>225-44000</t>
  </si>
  <si>
    <t>Correction Fees/Care of Prisoners</t>
  </si>
  <si>
    <t>225-17-44010</t>
  </si>
  <si>
    <t>Expenses for Corrections Fees/Care of Prisoners</t>
  </si>
  <si>
    <t>Special Revenue Funds Managed by the Police Dept.</t>
  </si>
  <si>
    <t>FUND 223: SELECTIVE TRAFFIC ENFORCEMENT PROGRAM (STEP) 02-PT-RF-158</t>
  </si>
  <si>
    <t>223-43695</t>
  </si>
  <si>
    <t>STEP-REIMBURSMENT</t>
  </si>
  <si>
    <t>223-51000</t>
  </si>
  <si>
    <t>STEP-TRANSFER IN</t>
  </si>
  <si>
    <t>223-05-50230</t>
  </si>
  <si>
    <t>223-05-50300</t>
  </si>
  <si>
    <t>FUND 240: LAW ENFORCEMENT PROTECTION FUND</t>
  </si>
  <si>
    <t>240-48500</t>
  </si>
  <si>
    <t>Law Enforcement Protection Fund</t>
  </si>
  <si>
    <t>240-22-61400</t>
  </si>
  <si>
    <t>MAINTENANCE VEHICLE /EQUIPMENT</t>
  </si>
  <si>
    <t>240-22-63200</t>
  </si>
  <si>
    <t>Non Cap Equipment</t>
  </si>
  <si>
    <t>240-22-70500</t>
  </si>
  <si>
    <t>Advance Training &amp; Planning</t>
  </si>
  <si>
    <t>FUND 265: ENDWI 16-AL-64-158</t>
  </si>
  <si>
    <t>265-43694</t>
  </si>
  <si>
    <t>ENDWI - REIMBURSMENT</t>
  </si>
  <si>
    <t>265-51000</t>
  </si>
  <si>
    <t>ENDWI - TRANSFER IN</t>
  </si>
  <si>
    <t>265-05-50230</t>
  </si>
  <si>
    <t>265-05-50300</t>
  </si>
  <si>
    <t>265-05-50320</t>
  </si>
  <si>
    <t>FUND 266: BKLUP/CIOT 02-OP-RF-158</t>
  </si>
  <si>
    <t>266-43695</t>
  </si>
  <si>
    <t>BKLUP/CIOT - REIMBURSMENT</t>
  </si>
  <si>
    <t>266-51000</t>
  </si>
  <si>
    <t>BKLUP/CIOT - TRANSFER IN</t>
  </si>
  <si>
    <t>266-05-50230</t>
  </si>
  <si>
    <t>266-05-50300</t>
  </si>
  <si>
    <t>266-05-50320</t>
  </si>
  <si>
    <t>FUND 267: SPECIAL PROJECTS OTHER MUNICIPALITIES</t>
  </si>
  <si>
    <t>267-43693</t>
  </si>
  <si>
    <t>SPECIAL PROJECTS OTHER MUNICIPALITIES</t>
  </si>
  <si>
    <t>Special Revenue Funds Managed by the Library</t>
  </si>
  <si>
    <t>FUND 243: LIBRARY</t>
  </si>
  <si>
    <t>243-43700</t>
  </si>
  <si>
    <t>Library Donations/Revenue</t>
  </si>
  <si>
    <t>243-10-61700</t>
  </si>
  <si>
    <t>Library Expense</t>
  </si>
  <si>
    <t>FUND 250: LIBRARY - ALA GRANT FUNDING</t>
  </si>
  <si>
    <t>250-43700</t>
  </si>
  <si>
    <t>250-10-50300</t>
  </si>
  <si>
    <t>FICA</t>
  </si>
  <si>
    <t>250-10-50310</t>
  </si>
  <si>
    <t>Unemployment</t>
  </si>
  <si>
    <t>250-10-5320</t>
  </si>
  <si>
    <t>PERA</t>
  </si>
  <si>
    <t>250-10-61700</t>
  </si>
  <si>
    <t>Library - ALA Grant Funding Expense</t>
  </si>
  <si>
    <t>FUND 251: DEVELOPEMENT BUREAU STATE AID NM STATE LIBRARY</t>
  </si>
  <si>
    <t>251-43700</t>
  </si>
  <si>
    <t>Developement Bureau State Aid NM State Library</t>
  </si>
  <si>
    <t>251-10-61700</t>
  </si>
  <si>
    <t>FUND 252: ARPA</t>
  </si>
  <si>
    <t>252-43700</t>
  </si>
  <si>
    <t>ARPA</t>
  </si>
  <si>
    <t>252-10-61700</t>
  </si>
  <si>
    <t>FUND 255: GENERAL OBLIGATION BOND (A20-E5296)</t>
  </si>
  <si>
    <t>255-43685</t>
  </si>
  <si>
    <t>GENERAL OBLEGATION BOND</t>
  </si>
  <si>
    <t>255-10-61700</t>
  </si>
  <si>
    <t>FUND 273: E-Rate Library Internet Services</t>
  </si>
  <si>
    <t>273-43691</t>
  </si>
  <si>
    <t>ERATE LIBRARY INTERNET (FRN-2199020043) - REIMBUSMENT</t>
  </si>
  <si>
    <t>273-51000</t>
  </si>
  <si>
    <t>ERATE LIBRARY INTERNET (FRN-2199020043) - CITY MATCH</t>
  </si>
  <si>
    <t>273-10-71600</t>
  </si>
  <si>
    <t>ERATE LIBRARY INTERNET (FRN-2199020043) - EXPENSE</t>
  </si>
  <si>
    <t>Funds Managed by the Finance Dept.</t>
  </si>
  <si>
    <t>FUND 210: Development Projects</t>
  </si>
  <si>
    <t>210-41601</t>
  </si>
  <si>
    <t>Development Projects</t>
  </si>
  <si>
    <t>210-01-41601</t>
  </si>
  <si>
    <t>FUND 301: Lodger's Tax</t>
  </si>
  <si>
    <t>301-40103</t>
  </si>
  <si>
    <t>Lodger's Tax</t>
  </si>
  <si>
    <t>301-25-46001</t>
  </si>
  <si>
    <t>City Promotion Expense</t>
  </si>
  <si>
    <t>FUND 205: Film Industry</t>
  </si>
  <si>
    <t>205-51000</t>
  </si>
  <si>
    <t>Film Industry</t>
  </si>
  <si>
    <t>FUND 229: TRANSFER STATION FEASIBILITY</t>
  </si>
  <si>
    <t>229-51000</t>
  </si>
  <si>
    <t>Transfer Station Feasibility</t>
  </si>
  <si>
    <t>229-25-46001</t>
  </si>
  <si>
    <t>229-25-62400</t>
  </si>
  <si>
    <t>262-51000</t>
  </si>
  <si>
    <t>CAA</t>
  </si>
  <si>
    <t>262-08-46001</t>
  </si>
  <si>
    <t>262-08-50230</t>
  </si>
  <si>
    <t>262-08-50300</t>
  </si>
  <si>
    <t>FUND 510: Debt Servicing</t>
  </si>
  <si>
    <t>510-41000</t>
  </si>
  <si>
    <t>INTERCEPT GRT500</t>
  </si>
  <si>
    <t>510-40104</t>
  </si>
  <si>
    <t>510-51000</t>
  </si>
  <si>
    <t>DEBT SERVICING - TRANSFER IN</t>
  </si>
  <si>
    <t>CWSRF 067 (PI&amp;A)</t>
  </si>
  <si>
    <t>510-30-65100</t>
  </si>
  <si>
    <t>CWSRF 067</t>
  </si>
  <si>
    <t>WTB - LOAN (P&amp;A)</t>
  </si>
  <si>
    <t>510-30-65150</t>
  </si>
  <si>
    <t>WTB</t>
  </si>
  <si>
    <t>CIF-3339 - LOAN (PRINCIPAL)</t>
  </si>
  <si>
    <t>510-30-65200</t>
  </si>
  <si>
    <t>CIF-3339</t>
  </si>
  <si>
    <t>CIF-3505 - LOAN (PRINCIPAL)</t>
  </si>
  <si>
    <t>510-30-65300</t>
  </si>
  <si>
    <t>CIF-3505</t>
  </si>
  <si>
    <t>CIF-3178 - LOAN (PRINCIPAL)</t>
  </si>
  <si>
    <t>510-30-65400</t>
  </si>
  <si>
    <t>CIF-3178</t>
  </si>
  <si>
    <t>CIF-5509 - LOAN (PRINCIPAL)</t>
  </si>
  <si>
    <t>510-30-65500</t>
  </si>
  <si>
    <t>CIF-5509</t>
  </si>
  <si>
    <t>PPRF-3088 - LOAN (PI&amp;A)</t>
  </si>
  <si>
    <t>510-30-65600</t>
  </si>
  <si>
    <t>PPRF-3088 - City Hall</t>
  </si>
  <si>
    <t>PPRF-4815 - LOAN (PI&amp;A)</t>
  </si>
  <si>
    <t>510-30-65700</t>
  </si>
  <si>
    <t>PPRF-4815 - Dos Lagos</t>
  </si>
  <si>
    <t>PPRF-4890 - LOAN (PI&amp;A)</t>
  </si>
  <si>
    <t>510-30-65800</t>
  </si>
  <si>
    <t>PPRF-4890 - Ball Park &amp; Streets</t>
  </si>
  <si>
    <t>510-30-65900</t>
  </si>
  <si>
    <t>PPRF-4890(B)</t>
  </si>
  <si>
    <t>FUND 526: 26000 American Rescue Plan Act</t>
  </si>
  <si>
    <t>526-13253</t>
  </si>
  <si>
    <t>26000 American Rescue Plan Act - REVENUE</t>
  </si>
  <si>
    <t>526-30-52000</t>
  </si>
  <si>
    <t>Transfer Out</t>
  </si>
  <si>
    <t>FUND 700: CN WIRE</t>
  </si>
  <si>
    <t>700-41600</t>
  </si>
  <si>
    <t>CN WIRE DONA ANA COUNTY 60% SHARE - REVENUE</t>
  </si>
  <si>
    <t>700-10-62400</t>
  </si>
  <si>
    <t>CN WIRE DONA ANA COUNTY 60% SHARE - EXPENSE</t>
  </si>
  <si>
    <t>800-41600</t>
  </si>
  <si>
    <t>MVD State Fees Collected</t>
  </si>
  <si>
    <t>800-10-62400</t>
  </si>
  <si>
    <t>MVD State Fees Distribution</t>
  </si>
  <si>
    <t>Special Revenue Funds Managed by Projects</t>
  </si>
  <si>
    <t>FUND 290: 20-E2539 ANTHONY PARKS AND RECREATION</t>
  </si>
  <si>
    <t>290-43689</t>
  </si>
  <si>
    <t>20-E5239 ANTHONY PARKS AND RECREATION</t>
  </si>
  <si>
    <t>290-01-91900</t>
  </si>
  <si>
    <t>FUND 303: ADAMS BASEBALL PARK F2726</t>
  </si>
  <si>
    <t>303-43689</t>
  </si>
  <si>
    <t>ADAMS BASEBALL PARK F2726</t>
  </si>
  <si>
    <t>303-01-91900</t>
  </si>
  <si>
    <t>FUND 298: MULTIGENERATIONAL PHASE 2</t>
  </si>
  <si>
    <t>298-43689</t>
  </si>
  <si>
    <t>MULTIGENERATIONAL PHASE 2</t>
  </si>
  <si>
    <t>298-01-91900</t>
  </si>
  <si>
    <t>FUND 523: 21-F2999 DUFFER LANE ST</t>
  </si>
  <si>
    <t>523-43689</t>
  </si>
  <si>
    <t>21-F2999 DUFFER LANE ST</t>
  </si>
  <si>
    <t>523-01-91900</t>
  </si>
  <si>
    <t>FUND 226: 22-G2823 ANTHONY MULTI-GEN FCLTY CONSTRUCTION</t>
  </si>
  <si>
    <t>226-43689</t>
  </si>
  <si>
    <t>ANTHONY MULTI-GEN FCLTY CONSTRUCTION 22-G2823</t>
  </si>
  <si>
    <t>226-01-91900</t>
  </si>
  <si>
    <t>FUND 230: 22-G2824 ANTHONY POLICE DEPT EQUIP</t>
  </si>
  <si>
    <t>230-43689</t>
  </si>
  <si>
    <t>22-G2824 ANTHONY POLICE DEPT EQUIP</t>
  </si>
  <si>
    <t>230-01-91900</t>
  </si>
  <si>
    <t>FUND 524: SOUTH ANTHONY ARROYO (CIF5509)</t>
  </si>
  <si>
    <t>524-43689</t>
  </si>
  <si>
    <t>SOUTH ANTHONY ARROYO (CIF5509)</t>
  </si>
  <si>
    <t>524-51000</t>
  </si>
  <si>
    <t>CITY MATCH</t>
  </si>
  <si>
    <t>524-49500</t>
  </si>
  <si>
    <t>LOAN COMPONENT</t>
  </si>
  <si>
    <t>524-01-91900</t>
  </si>
  <si>
    <t>FUND 291: ACOSTA RD (CDBG)</t>
  </si>
  <si>
    <t>291-43689</t>
  </si>
  <si>
    <t>ACOSTA RD (CDBG)</t>
  </si>
  <si>
    <t>291-51000</t>
  </si>
  <si>
    <t>CITY MATCH (CASH)</t>
  </si>
  <si>
    <t>291-01-91900</t>
  </si>
  <si>
    <t>FUND 231: CWSRLF-067 SOUTH ANTHONY ARROYO</t>
  </si>
  <si>
    <t>231-43689</t>
  </si>
  <si>
    <t>CWSRLF-067 SOUTH ANTHONY ARROYO</t>
  </si>
  <si>
    <t>231-49500</t>
  </si>
  <si>
    <t>231-01-91900</t>
  </si>
  <si>
    <t>FUND 232: NMED-EPA SOUTH ANTHONY ARROYO</t>
  </si>
  <si>
    <t>232-43689</t>
  </si>
  <si>
    <t>NMED-EPA SOUTH ANTHONY ARROYO</t>
  </si>
  <si>
    <t>232-01-91900</t>
  </si>
  <si>
    <t>FUND 233: CHURCH ST HW2-LP10024</t>
  </si>
  <si>
    <t>233-43689</t>
  </si>
  <si>
    <t>CHURCH ST HW2-LP10024</t>
  </si>
  <si>
    <t>233-51000</t>
  </si>
  <si>
    <t>233-01-91900</t>
  </si>
  <si>
    <t>234-51000</t>
  </si>
  <si>
    <t>FISCAL RECOVERY FUNDS0DFA FRF-ANTH-003</t>
  </si>
  <si>
    <t>234-01-91900</t>
  </si>
  <si>
    <t>FUND 235: EMERGENCY HEALTH CLINIC EDA No 08-79-05526</t>
  </si>
  <si>
    <t>235-43689</t>
  </si>
  <si>
    <t>EMERGENCY HEALTH CLINIC EDA No 08-79-05526</t>
  </si>
  <si>
    <t>FUND 521: PPRF-4890</t>
  </si>
  <si>
    <t>521-43689</t>
  </si>
  <si>
    <t>PPRF-4890 - PROJECT FUND</t>
  </si>
  <si>
    <t>521-48110</t>
  </si>
  <si>
    <t>521-01-91900</t>
  </si>
  <si>
    <t>PPRF-4890 - EXPENSE</t>
  </si>
  <si>
    <t>FUND 520: PPRF-4815</t>
  </si>
  <si>
    <t>520-43689</t>
  </si>
  <si>
    <t>PPRF-4815 - PROJECT FUND</t>
  </si>
  <si>
    <t>520-48110</t>
  </si>
  <si>
    <t>520-01-91900</t>
  </si>
  <si>
    <t>PPRF-4815 - EXPENSE</t>
  </si>
  <si>
    <t>FUND 561: LITTER CONTROL &amp; BEAUTIFICATION (KNMB)</t>
  </si>
  <si>
    <t>561-43689</t>
  </si>
  <si>
    <t>LITTER CONTROL &amp; BEAUTIFICATION (KNMB)</t>
  </si>
  <si>
    <t>561-01-91900</t>
  </si>
  <si>
    <t>FUND 276: AIPP (19-D2982)</t>
  </si>
  <si>
    <t>276-43689</t>
  </si>
  <si>
    <t>AIPP (19-D2982)</t>
  </si>
  <si>
    <t>276-01-91900</t>
  </si>
  <si>
    <t>FUND 300: CES</t>
  </si>
  <si>
    <t>300-51000</t>
  </si>
  <si>
    <t>300-41300</t>
  </si>
  <si>
    <t>COMBINE FUEL</t>
  </si>
  <si>
    <t>300-10-91900</t>
  </si>
  <si>
    <t>CES</t>
  </si>
  <si>
    <t>FUND 237: WATER TRUST BOARD</t>
  </si>
  <si>
    <t>237-43689</t>
  </si>
  <si>
    <t>237-49500</t>
  </si>
  <si>
    <t>237-01-91900</t>
  </si>
  <si>
    <t>FUND 201: PUBLIC SAFETY EQUIPMENT</t>
  </si>
  <si>
    <t>201-43689</t>
  </si>
  <si>
    <t>PUBLIC SAFETY EQUIPMENT</t>
  </si>
  <si>
    <t>201-01-91900</t>
  </si>
  <si>
    <t>FUND 215: LIBRARY GRANT</t>
  </si>
  <si>
    <t>215-43689</t>
  </si>
  <si>
    <t>LIBRARY GRANT</t>
  </si>
  <si>
    <t>215-01-91900</t>
  </si>
  <si>
    <t>101-01-91200</t>
  </si>
  <si>
    <t>Cap Equip &amp; Mach</t>
  </si>
  <si>
    <t>FUND 800: MVD State Fees</t>
  </si>
  <si>
    <t>Employee Name</t>
  </si>
  <si>
    <t>Pay Base Group</t>
  </si>
  <si>
    <t>Position</t>
  </si>
  <si>
    <t>Rate Name</t>
  </si>
  <si>
    <t>FY20 Rate Amt</t>
  </si>
  <si>
    <t>Units</t>
  </si>
  <si>
    <t>Periods</t>
  </si>
  <si>
    <t>FY23 Proposed Rate</t>
  </si>
  <si>
    <t>2023 NM Minimum Wage Increase</t>
  </si>
  <si>
    <t>% Increase</t>
  </si>
  <si>
    <t>FY21 Proposed Salary</t>
  </si>
  <si>
    <t>SUTA</t>
  </si>
  <si>
    <t>RETIREMENT EMPLOYEE/POLICE</t>
  </si>
  <si>
    <t>WORKERS' COMP</t>
  </si>
  <si>
    <t>HEALTH</t>
  </si>
  <si>
    <t>DENTAL</t>
  </si>
  <si>
    <t>VISION</t>
  </si>
  <si>
    <t>LIFE</t>
  </si>
  <si>
    <t>TOTAL</t>
  </si>
  <si>
    <t>CITY CLERK - CITY CLERK DEPARTMENT</t>
  </si>
  <si>
    <t>OROPEZA, KARLA</t>
  </si>
  <si>
    <t>BI-WEEKLY - BI-WEEKLY</t>
  </si>
  <si>
    <t>CITY CLERK</t>
  </si>
  <si>
    <t>SALARY</t>
  </si>
  <si>
    <t>CHAVIRA, NORMA</t>
  </si>
  <si>
    <t>ADMIN ASSISTANT I</t>
  </si>
  <si>
    <t>HOURLY</t>
  </si>
  <si>
    <t>LUGO, ROSALBA</t>
  </si>
  <si>
    <t>HOUSE KEEPING</t>
  </si>
  <si>
    <t>EXECUTIVE - EXECUTIVE DEPARTMENT</t>
  </si>
  <si>
    <t>MURILLO, DIANA</t>
  </si>
  <si>
    <t>MONTHLY - MONTHLY</t>
  </si>
  <si>
    <t>MAYOR</t>
  </si>
  <si>
    <t>ELECTED</t>
  </si>
  <si>
    <t>FINANCE  - FINANCE DEPARTMENT</t>
  </si>
  <si>
    <t>HIRAM GONZALEZ</t>
  </si>
  <si>
    <t>FINANCE OFFICER</t>
  </si>
  <si>
    <t>BONNIE HIDALGO</t>
  </si>
  <si>
    <t>HR/CPO</t>
  </si>
  <si>
    <t>RAMIREZ, GLORIA</t>
  </si>
  <si>
    <t>PROJECT ADMINISTRATOR</t>
  </si>
  <si>
    <t>OPEN</t>
  </si>
  <si>
    <t>PAYROLL/ACCOUNTS PAYABLE</t>
  </si>
  <si>
    <t>CITY MANAGER - CITY MANAGER DEPARTMENT</t>
  </si>
  <si>
    <t>JUAREZ-INFANTE, MARIO</t>
  </si>
  <si>
    <t>INFO TECH - INFORMATION TECHNOLOGY</t>
  </si>
  <si>
    <t>IT MANAGER</t>
  </si>
  <si>
    <t>LEGISLATIVE - LEGISLATIVE DEPARTMENT</t>
  </si>
  <si>
    <t>FLORES, ELVA</t>
  </si>
  <si>
    <t>MAYOR PROTEMP</t>
  </si>
  <si>
    <t>SILVA, JAVIER</t>
  </si>
  <si>
    <t>TRUSTEE</t>
  </si>
  <si>
    <t>HOLGUIN, GABRIEL</t>
  </si>
  <si>
    <t>BARRERAS, DANIEL</t>
  </si>
  <si>
    <t>GARCIA JR, JOSE GILBERTO</t>
  </si>
  <si>
    <t>QUARTERLY - QUARTERLY</t>
  </si>
  <si>
    <t>COMMISSIONER</t>
  </si>
  <si>
    <t>STIPEND</t>
  </si>
  <si>
    <t>SANCHEZ, MARY</t>
  </si>
  <si>
    <t>ALVAREZ, YOLANDA</t>
  </si>
  <si>
    <t>SIERRA, VERONICA</t>
  </si>
  <si>
    <t>BORUNDA, ANDRES</t>
  </si>
  <si>
    <t>BRUMLOW, JANNY</t>
  </si>
  <si>
    <t>CAMERON, BARBARA</t>
  </si>
  <si>
    <t>CORREA, SANTOS</t>
  </si>
  <si>
    <t>TERRONES, JOSE</t>
  </si>
  <si>
    <t>LIBRARY - LIBRARY DEPARTMENT</t>
  </si>
  <si>
    <t>MCCOOL, CASEY</t>
  </si>
  <si>
    <t>HEAD LIBRARIAN</t>
  </si>
  <si>
    <t>CRUZ, DIANA</t>
  </si>
  <si>
    <t>LIBRARY ASSITANT</t>
  </si>
  <si>
    <t>LIBRARY ASSITANT - PART TIME</t>
  </si>
  <si>
    <t>MUNICIPAL COURT - MUNICIPAL COURT/JUDICIAL DEPARTMENT</t>
  </si>
  <si>
    <t>HOLGUIN, SARAH</t>
  </si>
  <si>
    <t>MUNICIPAL JUDGE</t>
  </si>
  <si>
    <t>TEMP-JUDGE</t>
  </si>
  <si>
    <t>APPOINTED</t>
  </si>
  <si>
    <t>MUNOZ, MIRIAM</t>
  </si>
  <si>
    <t>COURT CLERK</t>
  </si>
  <si>
    <t>BELTRAN, ROSARIO</t>
  </si>
  <si>
    <t>COURT CLERK - PART TIME</t>
  </si>
  <si>
    <t>MVD - MOTOR VEHICLE DEPARTMENT</t>
  </si>
  <si>
    <t>HERRERA, JAVIER</t>
  </si>
  <si>
    <t>MVD MANAGER</t>
  </si>
  <si>
    <t>CHAIREZ, LILIANA</t>
  </si>
  <si>
    <t>MOTOR VEHICLE LEAD AGENT</t>
  </si>
  <si>
    <t>CHAVEZ GABRIELA</t>
  </si>
  <si>
    <t>MOTOR VEHICLE AGENT</t>
  </si>
  <si>
    <t>OLIVAS, ELSA</t>
  </si>
  <si>
    <t>POLICE - POLICE DEPARTMENT</t>
  </si>
  <si>
    <t>ORDONEZ, VANESSA</t>
  </si>
  <si>
    <t>CHIEF OF POLICE</t>
  </si>
  <si>
    <t>LIEUTENANT CHIEF OF POLICE</t>
  </si>
  <si>
    <t>ARROYOS, VALERIA</t>
  </si>
  <si>
    <t>POLICE RECORDS CLERK</t>
  </si>
  <si>
    <t>MARTINEZ, AARON</t>
  </si>
  <si>
    <t>POLICE DETECTIVE</t>
  </si>
  <si>
    <t>ON-CALL DETECTIVE</t>
  </si>
  <si>
    <t>DAILY</t>
  </si>
  <si>
    <t>MARTINEZ, SERGIO</t>
  </si>
  <si>
    <t>POLICE OFFICER</t>
  </si>
  <si>
    <t>CASTANEDA, EDWIN</t>
  </si>
  <si>
    <t>PHILLIPS, JUSTIN RENE</t>
  </si>
  <si>
    <t>BORDEN, JAMES</t>
  </si>
  <si>
    <t>BUENO, RUDY</t>
  </si>
  <si>
    <t>WELLS, STEVEN CARL</t>
  </si>
  <si>
    <t>MARTINEZ, JULIAN</t>
  </si>
  <si>
    <t>OVERTIME</t>
  </si>
  <si>
    <t>NEIGHBORHOOD SERVICES</t>
  </si>
  <si>
    <t>SALAZAR, EDWARD</t>
  </si>
  <si>
    <t>NEIGHBORHOOD SERVICES SUPERVISOR</t>
  </si>
  <si>
    <t>RODIGUEZ, JOSE</t>
  </si>
  <si>
    <t>NEIGHBORHOOD SERVICES OFFICER</t>
  </si>
  <si>
    <t>ONTIVEROS, ALEJANDRA</t>
  </si>
  <si>
    <t>PUBLIC WORKS/STREETS - PUBLIC WORKS/STREETS DEPARTMENT</t>
  </si>
  <si>
    <t>ROMAN, ELEAZAR</t>
  </si>
  <si>
    <t>PUBLIC WORKS SUPERVISOR</t>
  </si>
  <si>
    <t>BARRON, FELIPE</t>
  </si>
  <si>
    <t>MAINTENANCE WORKER III</t>
  </si>
  <si>
    <t>GALLEGOS, OSCAR</t>
  </si>
  <si>
    <t>STREET MAINTENANCE</t>
  </si>
  <si>
    <t>GONZALES, ALBERT</t>
  </si>
  <si>
    <t>PASTRAN, DANIEL</t>
  </si>
  <si>
    <t>POLICE LEAD SERGEANT</t>
  </si>
  <si>
    <t>POLICE INT. SERGEANT</t>
  </si>
  <si>
    <t>GUERRERO, ARTURO</t>
  </si>
  <si>
    <t>TORRES, ROBERT</t>
  </si>
  <si>
    <t>TERRAZAS,CHRISTINA</t>
  </si>
  <si>
    <t>ESTRADA, FRANCISCO</t>
  </si>
  <si>
    <t>SAAVEDRA, ELIZABETH</t>
  </si>
  <si>
    <t>FRESCAS, ELIZABETH</t>
  </si>
  <si>
    <t>FY23 Q1</t>
  </si>
  <si>
    <t>FY23 Budget</t>
  </si>
  <si>
    <t>Cap Equp &amp; Mach Exec</t>
  </si>
  <si>
    <t>MIRAMONTEZ, VALERIE</t>
  </si>
  <si>
    <t>Fund</t>
  </si>
  <si>
    <t>Department</t>
  </si>
  <si>
    <t>Object Code</t>
  </si>
  <si>
    <t>40400/40100</t>
  </si>
  <si>
    <t>101-11-63100</t>
  </si>
  <si>
    <t>Supplies (Graffitti)</t>
  </si>
  <si>
    <t>227-48500</t>
  </si>
  <si>
    <t>FUND 227: GISD SRO</t>
  </si>
  <si>
    <t>GISD SRO</t>
  </si>
  <si>
    <t>227-05-50201</t>
  </si>
  <si>
    <t>227-05-50300</t>
  </si>
  <si>
    <t>227-05-50310</t>
  </si>
  <si>
    <t>227-05-50320</t>
  </si>
  <si>
    <t>227-05-50340</t>
  </si>
  <si>
    <t>227-05-50345</t>
  </si>
  <si>
    <t>227-05-50355</t>
  </si>
  <si>
    <t>227-05-50500</t>
  </si>
  <si>
    <t>227-05-63100</t>
  </si>
  <si>
    <t>.</t>
  </si>
  <si>
    <t>TORRES, ARTURO</t>
  </si>
  <si>
    <t>FY23 Q2</t>
  </si>
  <si>
    <t>GOMEZ, SAMANTHA</t>
  </si>
  <si>
    <t>PEREZ, JESUS</t>
  </si>
  <si>
    <t>205-25-41600</t>
  </si>
  <si>
    <t>FUND 234: FISCAL RECOVERY FUNDS DFA FRF-ANTH-003</t>
  </si>
  <si>
    <t>GONZALEZ, HIRAM</t>
  </si>
  <si>
    <t>HIDALGO, BONNIE</t>
  </si>
  <si>
    <t>227-05-50335</t>
  </si>
  <si>
    <t>101-10-50355</t>
  </si>
  <si>
    <t>FUND 710: VALLEY COLD STORAGE &amp; TRANSPORTATION</t>
  </si>
  <si>
    <t>710-41600</t>
  </si>
  <si>
    <t>VALLEY COLD STORAGE &amp; TRANSPORTATION</t>
  </si>
  <si>
    <t>710-10-62400</t>
  </si>
  <si>
    <t>235-01-91900</t>
  </si>
  <si>
    <t>FUND 295: LGPF TAMP GRANT</t>
  </si>
  <si>
    <t>295-43689</t>
  </si>
  <si>
    <t>295-01-91900</t>
  </si>
  <si>
    <t>LGPF TAMP GRANT</t>
  </si>
  <si>
    <t>BUDGET</t>
  </si>
  <si>
    <t>CN WIRE</t>
  </si>
  <si>
    <t>CORRECTION</t>
  </si>
  <si>
    <t>PROPERTY TAXES HELD FOR OTHERS</t>
  </si>
  <si>
    <t>UNRESTRICTED CASH</t>
  </si>
  <si>
    <t>MISCELLANEAUS</t>
  </si>
  <si>
    <t>OTHER OPERATING COSTS</t>
  </si>
  <si>
    <t>SPECIAL</t>
  </si>
  <si>
    <t>FILM</t>
  </si>
  <si>
    <t>GISD</t>
  </si>
  <si>
    <t>TRA STAT</t>
  </si>
  <si>
    <t>OTHER ENTERPRISE</t>
  </si>
  <si>
    <t>JOINT POWER AGREEMENTS INCOME</t>
  </si>
  <si>
    <t>SALARIES - OVERTIME</t>
  </si>
  <si>
    <t>FICA - MEDICARE</t>
  </si>
  <si>
    <t>UNEMPLOYMENT</t>
  </si>
  <si>
    <t>RETIREMENT</t>
  </si>
  <si>
    <t>SUPPLIES</t>
  </si>
  <si>
    <t>PROFESIONAL SERVICES</t>
  </si>
  <si>
    <t>CONTRACT - OTHER SERVICES</t>
  </si>
  <si>
    <t>FUND</t>
  </si>
  <si>
    <t>LIBRAY</t>
  </si>
  <si>
    <t>ALA</t>
  </si>
  <si>
    <t>GRANT</t>
  </si>
  <si>
    <t>GO BOND</t>
  </si>
  <si>
    <t>E-RATE</t>
  </si>
  <si>
    <t>AR</t>
  </si>
  <si>
    <t>MUSEUM/LIBRARY ENTERPRISE</t>
  </si>
  <si>
    <t>UNRISTRICTED CASH</t>
  </si>
  <si>
    <t>LIBRARY FEES</t>
  </si>
  <si>
    <t>REIMBURSEMENTS/REFUNDS</t>
  </si>
  <si>
    <t>TRANSFERS IN</t>
  </si>
  <si>
    <t>FICA - REGULAR</t>
  </si>
  <si>
    <t>GRANTS TO SUB-RECIPIENTS</t>
  </si>
  <si>
    <t>OTHER CAPITAL PURCHASES</t>
  </si>
  <si>
    <t>MVD</t>
  </si>
  <si>
    <t>101 FUNDS</t>
  </si>
  <si>
    <t>MOTOR VEHICLE</t>
  </si>
  <si>
    <t>OTHER LICESNESE AND PERMITES</t>
  </si>
  <si>
    <t>SALARIES</t>
  </si>
  <si>
    <t>WORKER'S COMP</t>
  </si>
  <si>
    <t>HEALTH AND MEDICAL</t>
  </si>
  <si>
    <t>SUPPLIES - GENERAL OFFICE</t>
  </si>
  <si>
    <t>CONTRACT - PROFESSIONAL SERVICES</t>
  </si>
  <si>
    <t>COMMITMENTS AND OTHER FEES</t>
  </si>
  <si>
    <t>DEV PRO</t>
  </si>
  <si>
    <t>HOUSING ENTERPRISE</t>
  </si>
  <si>
    <t>OTHER LICENSES AND PERMITS</t>
  </si>
  <si>
    <t xml:space="preserve">DEBT </t>
  </si>
  <si>
    <t>DEBT - CIFs</t>
  </si>
  <si>
    <t>NMFA LOAN DEBT SERVICE</t>
  </si>
  <si>
    <t>INVESTMENTS</t>
  </si>
  <si>
    <t>DEBT SERVICE - PRINCIPAL PAYMENTS</t>
  </si>
  <si>
    <t>DEBT</t>
  </si>
  <si>
    <t>PPRF-3088</t>
  </si>
  <si>
    <t>PPRF-4815</t>
  </si>
  <si>
    <t>GRT REVENUE BOND DEBT SERVICE</t>
  </si>
  <si>
    <t>INTEREST EARN (FUND BALANCE)</t>
  </si>
  <si>
    <t>INTEREST EARN (ESCROW ACCOUNT)</t>
  </si>
  <si>
    <t>GRT - MUN LOCAL OPTION</t>
  </si>
  <si>
    <t>INTEREST EARN (DEBT SERVICE ACCOUNT)</t>
  </si>
  <si>
    <t>DEBT SERVICE  PRINCIPAL PAYMENT</t>
  </si>
  <si>
    <t>PPRF-4890</t>
  </si>
  <si>
    <t>GO BOND DEBT SERVICE</t>
  </si>
  <si>
    <t>PORPERTY TAX</t>
  </si>
  <si>
    <t>CWSRLF067</t>
  </si>
  <si>
    <t>NMED-EPA</t>
  </si>
  <si>
    <t>FRF-ANTH-003</t>
  </si>
  <si>
    <t>HEALTH CLINIC</t>
  </si>
  <si>
    <t>OTHER CAPITAL PROJECTS</t>
  </si>
  <si>
    <t>REIMBURSEMENTS/REGFUNDS</t>
  </si>
  <si>
    <t>LOAN PROCEEDS</t>
  </si>
  <si>
    <t>PUBLIC SAFETY</t>
  </si>
  <si>
    <t>22-G2823</t>
  </si>
  <si>
    <t>22-G2824</t>
  </si>
  <si>
    <t>HW2-LP10024</t>
  </si>
  <si>
    <t>19-D2982</t>
  </si>
  <si>
    <t>20-E2539</t>
  </si>
  <si>
    <t>LGPF</t>
  </si>
  <si>
    <t>MULTI</t>
  </si>
  <si>
    <t>ADAMS</t>
  </si>
  <si>
    <t>21-F12999</t>
  </si>
  <si>
    <t>CIF55009</t>
  </si>
  <si>
    <t>KNMB</t>
  </si>
  <si>
    <t>OTHER STATE FUNDED PROJECTS</t>
  </si>
  <si>
    <t>LOAN PORCEEDS</t>
  </si>
  <si>
    <t>TRANSFERS OUT</t>
  </si>
  <si>
    <t>WATER TRUST BOARD PROJECT</t>
  </si>
  <si>
    <t>CDBG</t>
  </si>
  <si>
    <t>CDBG (HUD) PROJECT</t>
  </si>
  <si>
    <t>REIMBURSMENTS/REFUNDS</t>
  </si>
  <si>
    <t>PPRF4815</t>
  </si>
  <si>
    <t>PPRF4890</t>
  </si>
  <si>
    <t>BOND PROCEEDS PROJECT</t>
  </si>
  <si>
    <t>UNRESTRICRED CASH</t>
  </si>
  <si>
    <t>INTEREST INCOME</t>
  </si>
  <si>
    <t>BOND PROCEEDS</t>
  </si>
  <si>
    <t>COURT</t>
  </si>
  <si>
    <t>JUD EDU</t>
  </si>
  <si>
    <t>OTHER SPECIAL REVENUE</t>
  </si>
  <si>
    <t>OTHER CAHRGES FOR SERVICE</t>
  </si>
  <si>
    <t>EMPLOYEE TRAINING</t>
  </si>
  <si>
    <t>AMERICAN RESCUE PLAN</t>
  </si>
  <si>
    <t>UNRESTRICRTED CASH</t>
  </si>
  <si>
    <t>FEDERAL - LG ABATEMENT</t>
  </si>
  <si>
    <t>JAIL - DETENTION</t>
  </si>
  <si>
    <t>CARE OF RPISIONERS</t>
  </si>
  <si>
    <t>STEP</t>
  </si>
  <si>
    <t>ENDWI</t>
  </si>
  <si>
    <t>BKLUO</t>
  </si>
  <si>
    <t>DWI FUND</t>
  </si>
  <si>
    <t>STATE - DWI FORMULA (DFA)</t>
  </si>
  <si>
    <t>STATE 0 TRAFFIC SAFETY GRANT (DOT)</t>
  </si>
  <si>
    <t>OTHER STATE GRANTS</t>
  </si>
  <si>
    <t>INTERGOVERNMENTAL GRANTS</t>
  </si>
  <si>
    <t>MUNICIPAL STREET</t>
  </si>
  <si>
    <t>GAS TAX FOR GENERAL PURPOSES</t>
  </si>
  <si>
    <t>LODGERS</t>
  </si>
  <si>
    <t>LODGER'S TAX</t>
  </si>
  <si>
    <t>UNRESTRICED CASH</t>
  </si>
  <si>
    <t>LODGERS' TAX</t>
  </si>
  <si>
    <t>OTHER SERVICES</t>
  </si>
  <si>
    <t>LEPF</t>
  </si>
  <si>
    <t>LAW ENFORCEMENT PROTECTION</t>
  </si>
  <si>
    <t>LAW ENFORCMENT PROTECTION</t>
  </si>
  <si>
    <t>MAINTENANCE &amp; REPAIRS</t>
  </si>
  <si>
    <t>TRAINING</t>
  </si>
  <si>
    <t>CORRECTIONS</t>
  </si>
  <si>
    <t>CORRECTIONS FEES</t>
  </si>
  <si>
    <t>101-04-71800</t>
  </si>
  <si>
    <t>Transfer In</t>
  </si>
  <si>
    <t>252-51000</t>
  </si>
  <si>
    <t>ARPA - CASH</t>
  </si>
  <si>
    <t>Library - ALA Grant Funding - CASH</t>
  </si>
  <si>
    <t>295-51000</t>
  </si>
  <si>
    <t>IT Infrastructure</t>
  </si>
  <si>
    <t>Transfer Station Feasibility Analysis</t>
  </si>
  <si>
    <t>Law Enforcement Department of Public Safety (DPS) Concept Programming</t>
  </si>
  <si>
    <t>Law Enforcement Uniforms</t>
  </si>
  <si>
    <t>Overhead Electric Services on Adams Par</t>
  </si>
  <si>
    <t>RCI Electrical Sports Lighting</t>
  </si>
  <si>
    <t>Adams Electrical Repairs and drawing</t>
  </si>
  <si>
    <t>Task Order 21-F2726</t>
  </si>
  <si>
    <t>Acosta Rd and Landers Rd Speed Hump</t>
  </si>
  <si>
    <t>WTB - Design Analysis Reports</t>
  </si>
  <si>
    <t>BALANCE</t>
  </si>
  <si>
    <t>101-16-71700</t>
  </si>
  <si>
    <t>MARTINEZ, ARNIE</t>
  </si>
  <si>
    <t>HOLGUIN, JAHAIRA</t>
  </si>
  <si>
    <t>POLICE SERGEANT</t>
  </si>
  <si>
    <t>FY23 Rate</t>
  </si>
  <si>
    <t>267-05-50230</t>
  </si>
  <si>
    <t>267-05-50300</t>
  </si>
  <si>
    <t>FUND 289: POLICE DEP EQUIP (F2725)</t>
  </si>
  <si>
    <t>289-43691</t>
  </si>
  <si>
    <t>POLICE DEP EQUIP (F2725)</t>
  </si>
  <si>
    <t>289-51000</t>
  </si>
  <si>
    <t>289-01-91900</t>
  </si>
  <si>
    <t>510-48110</t>
  </si>
  <si>
    <t>PPRF-3088 INVESTMENT</t>
  </si>
  <si>
    <t>PPRF-3088 INTEREST EARN (INVESTMENT)</t>
  </si>
  <si>
    <t>522-</t>
  </si>
  <si>
    <t>FUND 522: INVESTMENT</t>
  </si>
  <si>
    <t>INTEREST EARN (DEBT SERVICE)</t>
  </si>
  <si>
    <t>PPRF-4890 - INTEREST EARNED (PROJECT FUND)</t>
  </si>
  <si>
    <t>PPRF-4815 - INTEREST EARNED (PROJECT FUND)</t>
  </si>
  <si>
    <t xml:space="preserve"> </t>
  </si>
  <si>
    <t>101-07-50201</t>
  </si>
  <si>
    <t>101-07-50300</t>
  </si>
  <si>
    <t>101-07-50310</t>
  </si>
  <si>
    <t>101-07-50320</t>
  </si>
  <si>
    <t>101-07-50335</t>
  </si>
  <si>
    <t>101-07-50340</t>
  </si>
  <si>
    <t>101-07-50345</t>
  </si>
  <si>
    <t>101-07-50355</t>
  </si>
  <si>
    <t>101-07-50500</t>
  </si>
  <si>
    <t>P&amp;R - PARKS AND RECS</t>
  </si>
  <si>
    <t>P&amp;R MANAGER</t>
  </si>
  <si>
    <t>Ball Park Canopies</t>
  </si>
  <si>
    <t>526-30-65300</t>
  </si>
  <si>
    <t>ARPA EXPENSES</t>
  </si>
  <si>
    <t>CASTILLO, BERTHA</t>
  </si>
  <si>
    <t>GONZALEZ, ALAN</t>
  </si>
  <si>
    <t>PARKS AND FACILITIES DEPARTMENT</t>
  </si>
  <si>
    <t>Multi-Generational Buiding Dispalys/Furniture</t>
  </si>
  <si>
    <t>Portables TIS - CAA</t>
  </si>
  <si>
    <t>TOTAL BALANCE</t>
  </si>
  <si>
    <t>TOTAL DISBRUSEMENT</t>
  </si>
  <si>
    <t>ARPA DISBRUSEMENT 2</t>
  </si>
  <si>
    <t>ARPA DISBRUSEMENT 1</t>
  </si>
  <si>
    <t>Dept of Public Safety Building - Design</t>
  </si>
  <si>
    <t>Dos Lagos Tap Service</t>
  </si>
  <si>
    <t>AWSD Meter Cost</t>
  </si>
  <si>
    <t>Century Link Lumen Duffer Lane Special Const</t>
  </si>
  <si>
    <t>Century Link Lumen Duffer Lane Special Const Fiber Optic</t>
  </si>
  <si>
    <t>FY 2023 - Law Enforcement Payroll</t>
  </si>
  <si>
    <t>FY 2023 - Employee Payroll</t>
  </si>
  <si>
    <t>FUND 200: PROPERTY TAX MIL LEVY</t>
  </si>
  <si>
    <t>200-40104</t>
  </si>
  <si>
    <t>Property Tax</t>
  </si>
  <si>
    <t>200-08-61300</t>
  </si>
  <si>
    <t>Maintenance Ground/Roadways</t>
  </si>
  <si>
    <t>200-08-62500</t>
  </si>
  <si>
    <t>Speed Humps</t>
  </si>
  <si>
    <t>FY 2024 - Payroll</t>
  </si>
  <si>
    <t>Transfer Station Local Match</t>
  </si>
  <si>
    <t>WTB South Anthony Arroyo West Reach Design</t>
  </si>
  <si>
    <t>IT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</si>
</sst>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30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43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91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44" fontId="8" fillId="0" borderId="8" xfId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44" fontId="8" fillId="0" borderId="11" xfId="1" applyNumberFormat="1" applyFont="1" applyFill="1" applyBorder="1" applyAlignment="1">
      <alignment vertical="center"/>
    </xf>
    <xf numFmtId="44" fontId="8" fillId="4" borderId="12" xfId="1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44" fontId="8" fillId="0" borderId="0" xfId="1" applyNumberFormat="1" applyFont="1" applyBorder="1" applyAlignment="1">
      <alignment vertical="center"/>
    </xf>
    <xf numFmtId="44" fontId="8" fillId="0" borderId="3" xfId="1" applyNumberFormat="1" applyFont="1" applyFill="1" applyBorder="1" applyAlignment="1">
      <alignment vertical="center"/>
    </xf>
    <xf numFmtId="44" fontId="8" fillId="0" borderId="0" xfId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44" fontId="8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8" fillId="0" borderId="8" xfId="1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4" fontId="8" fillId="0" borderId="9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44" fontId="8" fillId="6" borderId="3" xfId="1" applyNumberFormat="1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44" fontId="8" fillId="0" borderId="16" xfId="1" applyNumberFormat="1" applyFont="1" applyFill="1" applyBorder="1" applyAlignment="1">
      <alignment vertical="center"/>
    </xf>
    <xf numFmtId="44" fontId="8" fillId="0" borderId="6" xfId="1" applyNumberFormat="1" applyFont="1" applyFill="1" applyBorder="1" applyAlignment="1">
      <alignment vertical="center"/>
    </xf>
    <xf numFmtId="44" fontId="8" fillId="0" borderId="16" xfId="1" applyNumberFormat="1" applyFont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0" fontId="9" fillId="10" borderId="5" xfId="0" applyFont="1" applyFill="1" applyBorder="1" applyAlignment="1">
      <alignment vertical="center"/>
    </xf>
    <xf numFmtId="44" fontId="8" fillId="10" borderId="5" xfId="0" applyNumberFormat="1" applyFont="1" applyFill="1" applyBorder="1" applyAlignment="1">
      <alignment vertical="center"/>
    </xf>
    <xf numFmtId="44" fontId="8" fillId="10" borderId="13" xfId="0" applyNumberFormat="1" applyFont="1" applyFill="1" applyBorder="1" applyAlignment="1">
      <alignment vertical="center"/>
    </xf>
    <xf numFmtId="44" fontId="8" fillId="6" borderId="11" xfId="1" applyNumberFormat="1" applyFont="1" applyFill="1" applyBorder="1" applyAlignment="1">
      <alignment vertical="center"/>
    </xf>
    <xf numFmtId="44" fontId="8" fillId="6" borderId="8" xfId="1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/>
    </xf>
    <xf numFmtId="44" fontId="8" fillId="0" borderId="8" xfId="1" applyFont="1" applyFill="1" applyBorder="1" applyAlignment="1">
      <alignment vertical="center"/>
    </xf>
    <xf numFmtId="44" fontId="7" fillId="0" borderId="0" xfId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44" fontId="7" fillId="6" borderId="10" xfId="1" applyFont="1" applyFill="1" applyBorder="1" applyAlignment="1">
      <alignment vertical="center"/>
    </xf>
    <xf numFmtId="44" fontId="8" fillId="12" borderId="8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44" fontId="8" fillId="0" borderId="4" xfId="1" applyNumberFormat="1" applyFont="1" applyFill="1" applyBorder="1" applyAlignment="1">
      <alignment vertical="center"/>
    </xf>
    <xf numFmtId="44" fontId="7" fillId="0" borderId="7" xfId="1" applyFont="1" applyFill="1" applyBorder="1" applyAlignment="1">
      <alignment vertical="center"/>
    </xf>
    <xf numFmtId="44" fontId="7" fillId="0" borderId="9" xfId="1" applyFont="1" applyFill="1" applyBorder="1" applyAlignment="1">
      <alignment vertical="center"/>
    </xf>
    <xf numFmtId="44" fontId="7" fillId="0" borderId="10" xfId="1" applyFont="1" applyFill="1" applyBorder="1" applyAlignment="1">
      <alignment vertical="center"/>
    </xf>
    <xf numFmtId="44" fontId="7" fillId="0" borderId="4" xfId="1" applyFont="1" applyFill="1" applyBorder="1" applyAlignment="1">
      <alignment vertical="center"/>
    </xf>
    <xf numFmtId="44" fontId="7" fillId="0" borderId="5" xfId="1" applyFont="1" applyFill="1" applyBorder="1" applyAlignment="1">
      <alignment vertical="center"/>
    </xf>
    <xf numFmtId="44" fontId="7" fillId="0" borderId="0" xfId="1" applyFont="1" applyFill="1" applyAlignment="1">
      <alignment vertical="center"/>
    </xf>
    <xf numFmtId="44" fontId="11" fillId="0" borderId="0" xfId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44" fontId="8" fillId="0" borderId="18" xfId="1" applyNumberFormat="1" applyFont="1" applyFill="1" applyBorder="1" applyAlignment="1">
      <alignment vertical="center"/>
    </xf>
    <xf numFmtId="44" fontId="8" fillId="6" borderId="18" xfId="1" applyNumberFormat="1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44" fontId="8" fillId="0" borderId="18" xfId="1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44" fontId="8" fillId="6" borderId="19" xfId="1" applyFont="1" applyFill="1" applyBorder="1" applyAlignment="1">
      <alignment vertical="center"/>
    </xf>
    <xf numFmtId="0" fontId="8" fillId="12" borderId="14" xfId="0" applyFont="1" applyFill="1" applyBorder="1" applyAlignment="1">
      <alignment vertical="center"/>
    </xf>
    <xf numFmtId="0" fontId="8" fillId="12" borderId="17" xfId="0" applyFont="1" applyFill="1" applyBorder="1" applyAlignment="1">
      <alignment vertical="center"/>
    </xf>
    <xf numFmtId="44" fontId="8" fillId="12" borderId="3" xfId="1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12" borderId="7" xfId="0" applyFont="1" applyFill="1" applyBorder="1" applyAlignment="1">
      <alignment vertical="center"/>
    </xf>
    <xf numFmtId="0" fontId="8" fillId="12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44" fontId="8" fillId="8" borderId="6" xfId="1" applyNumberFormat="1" applyFont="1" applyFill="1" applyBorder="1" applyAlignment="1">
      <alignment vertical="center"/>
    </xf>
    <xf numFmtId="44" fontId="7" fillId="8" borderId="7" xfId="1" applyFont="1" applyFill="1" applyBorder="1" applyAlignment="1">
      <alignment vertical="center"/>
    </xf>
    <xf numFmtId="44" fontId="7" fillId="8" borderId="0" xfId="1" applyFont="1" applyFill="1" applyBorder="1" applyAlignment="1">
      <alignment vertical="center"/>
    </xf>
    <xf numFmtId="44" fontId="7" fillId="6" borderId="7" xfId="1" applyFont="1" applyFill="1" applyBorder="1" applyAlignment="1">
      <alignment vertical="center"/>
    </xf>
    <xf numFmtId="44" fontId="7" fillId="6" borderId="0" xfId="1" applyFont="1" applyFill="1" applyBorder="1" applyAlignment="1">
      <alignment vertical="center"/>
    </xf>
    <xf numFmtId="44" fontId="7" fillId="6" borderId="9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9" fillId="8" borderId="5" xfId="0" applyFont="1" applyFill="1" applyBorder="1" applyAlignment="1">
      <alignment vertical="center"/>
    </xf>
    <xf numFmtId="1" fontId="14" fillId="13" borderId="0" xfId="3" applyNumberFormat="1" applyFont="1" applyFill="1" applyBorder="1" applyAlignment="1">
      <alignment horizontal="center" vertical="center"/>
    </xf>
    <xf numFmtId="0" fontId="14" fillId="13" borderId="0" xfId="3" applyFont="1" applyFill="1" applyBorder="1" applyAlignment="1">
      <alignment horizontal="center" vertical="center"/>
    </xf>
    <xf numFmtId="44" fontId="14" fillId="13" borderId="0" xfId="1" applyFont="1" applyFill="1" applyBorder="1" applyAlignment="1">
      <alignment horizontal="right" wrapText="1"/>
    </xf>
    <xf numFmtId="0" fontId="14" fillId="13" borderId="0" xfId="1" applyNumberFormat="1" applyFont="1" applyFill="1" applyBorder="1" applyAlignment="1">
      <alignment horizontal="center" vertical="center"/>
    </xf>
    <xf numFmtId="44" fontId="14" fillId="13" borderId="0" xfId="1" applyFont="1" applyFill="1" applyBorder="1" applyAlignment="1">
      <alignment horizontal="center" vertical="center" wrapText="1"/>
    </xf>
    <xf numFmtId="9" fontId="14" fillId="13" borderId="0" xfId="2" applyFont="1" applyFill="1" applyBorder="1" applyAlignment="1">
      <alignment horizontal="right" vertical="center" wrapText="1"/>
    </xf>
    <xf numFmtId="44" fontId="14" fillId="13" borderId="0" xfId="1" applyFont="1" applyFill="1" applyBorder="1" applyAlignment="1">
      <alignment horizontal="center" vertical="center"/>
    </xf>
    <xf numFmtId="44" fontId="14" fillId="14" borderId="0" xfId="1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1" fontId="14" fillId="13" borderId="20" xfId="3" applyNumberFormat="1" applyFont="1" applyFill="1" applyBorder="1" applyAlignment="1">
      <alignment vertical="center"/>
    </xf>
    <xf numFmtId="0" fontId="15" fillId="13" borderId="20" xfId="3" applyFont="1" applyFill="1" applyBorder="1" applyAlignment="1">
      <alignment vertical="center"/>
    </xf>
    <xf numFmtId="44" fontId="15" fillId="13" borderId="20" xfId="1" applyFont="1" applyFill="1" applyBorder="1" applyAlignment="1">
      <alignment horizontal="right" wrapText="1"/>
    </xf>
    <xf numFmtId="0" fontId="15" fillId="13" borderId="20" xfId="1" applyNumberFormat="1" applyFont="1" applyFill="1" applyBorder="1" applyAlignment="1">
      <alignment vertical="center"/>
    </xf>
    <xf numFmtId="44" fontId="15" fillId="13" borderId="20" xfId="1" applyFont="1" applyFill="1" applyBorder="1" applyAlignment="1">
      <alignment vertical="center" wrapText="1"/>
    </xf>
    <xf numFmtId="9" fontId="15" fillId="13" borderId="20" xfId="2" applyFont="1" applyFill="1" applyBorder="1" applyAlignment="1">
      <alignment horizontal="right" vertical="center" wrapText="1"/>
    </xf>
    <xf numFmtId="44" fontId="14" fillId="13" borderId="20" xfId="1" applyFont="1" applyFill="1" applyBorder="1" applyAlignment="1">
      <alignment vertical="center" wrapText="1"/>
    </xf>
    <xf numFmtId="44" fontId="15" fillId="14" borderId="20" xfId="1" applyFont="1" applyFill="1" applyBorder="1" applyAlignment="1">
      <alignment horizontal="center" vertical="center"/>
    </xf>
    <xf numFmtId="44" fontId="15" fillId="14" borderId="20" xfId="1" applyFont="1" applyFill="1" applyBorder="1" applyAlignment="1">
      <alignment vertical="center"/>
    </xf>
    <xf numFmtId="0" fontId="15" fillId="14" borderId="20" xfId="1" applyNumberFormat="1" applyFont="1" applyFill="1" applyBorder="1" applyAlignment="1">
      <alignment horizontal="center" vertical="center"/>
    </xf>
    <xf numFmtId="0" fontId="15" fillId="14" borderId="20" xfId="1" applyNumberFormat="1" applyFont="1" applyFill="1" applyBorder="1" applyAlignment="1">
      <alignment vertical="center"/>
    </xf>
    <xf numFmtId="0" fontId="15" fillId="0" borderId="0" xfId="3" applyFont="1" applyAlignment="1">
      <alignment vertical="center"/>
    </xf>
    <xf numFmtId="44" fontId="15" fillId="0" borderId="0" xfId="1" applyFont="1" applyAlignment="1">
      <alignment vertical="center"/>
    </xf>
    <xf numFmtId="1" fontId="14" fillId="13" borderId="0" xfId="3" applyNumberFormat="1" applyFont="1" applyFill="1" applyAlignment="1">
      <alignment vertical="center"/>
    </xf>
    <xf numFmtId="0" fontId="14" fillId="13" borderId="0" xfId="3" applyFont="1" applyFill="1" applyAlignment="1">
      <alignment vertical="center"/>
    </xf>
    <xf numFmtId="0" fontId="15" fillId="13" borderId="0" xfId="3" applyFont="1" applyFill="1" applyAlignment="1">
      <alignment vertical="center"/>
    </xf>
    <xf numFmtId="44" fontId="15" fillId="13" borderId="0" xfId="1" applyFont="1" applyFill="1" applyAlignment="1">
      <alignment horizontal="right"/>
    </xf>
    <xf numFmtId="0" fontId="15" fillId="13" borderId="0" xfId="1" applyNumberFormat="1" applyFont="1" applyFill="1" applyAlignment="1">
      <alignment vertical="center"/>
    </xf>
    <xf numFmtId="44" fontId="15" fillId="13" borderId="0" xfId="1" applyFont="1" applyFill="1" applyAlignment="1">
      <alignment vertical="center"/>
    </xf>
    <xf numFmtId="9" fontId="15" fillId="13" borderId="0" xfId="2" applyFont="1" applyFill="1" applyAlignment="1">
      <alignment horizontal="right" vertical="center"/>
    </xf>
    <xf numFmtId="44" fontId="14" fillId="13" borderId="0" xfId="1" applyFont="1" applyFill="1" applyAlignment="1">
      <alignment vertical="center"/>
    </xf>
    <xf numFmtId="1" fontId="14" fillId="0" borderId="0" xfId="3" applyNumberFormat="1" applyFont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0" xfId="3" applyFont="1" applyAlignment="1">
      <alignment horizontal="center" vertical="center"/>
    </xf>
    <xf numFmtId="44" fontId="15" fillId="0" borderId="0" xfId="1" applyFont="1" applyFill="1" applyAlignment="1">
      <alignment horizontal="right"/>
    </xf>
    <xf numFmtId="0" fontId="15" fillId="0" borderId="0" xfId="1" applyNumberFormat="1" applyFont="1" applyAlignment="1">
      <alignment vertical="center"/>
    </xf>
    <xf numFmtId="44" fontId="15" fillId="0" borderId="0" xfId="1" applyFont="1" applyFill="1" applyAlignment="1">
      <alignment vertical="center"/>
    </xf>
    <xf numFmtId="9" fontId="15" fillId="0" borderId="0" xfId="2" applyFont="1" applyAlignment="1">
      <alignment horizontal="right" vertical="center"/>
    </xf>
    <xf numFmtId="44" fontId="14" fillId="0" borderId="0" xfId="1" applyFont="1" applyFill="1" applyAlignment="1">
      <alignment vertical="center"/>
    </xf>
    <xf numFmtId="44" fontId="15" fillId="0" borderId="0" xfId="3" applyNumberFormat="1" applyFont="1" applyAlignment="1">
      <alignment vertical="center"/>
    </xf>
    <xf numFmtId="44" fontId="15" fillId="0" borderId="0" xfId="1" applyFont="1" applyAlignment="1">
      <alignment horizontal="right"/>
    </xf>
    <xf numFmtId="10" fontId="15" fillId="0" borderId="0" xfId="2" applyNumberFormat="1" applyFont="1" applyAlignment="1">
      <alignment horizontal="right" vertical="center"/>
    </xf>
    <xf numFmtId="1" fontId="14" fillId="0" borderId="0" xfId="3" applyNumberFormat="1" applyFont="1" applyFill="1" applyAlignment="1">
      <alignment vertical="center"/>
    </xf>
    <xf numFmtId="10" fontId="15" fillId="0" borderId="0" xfId="2" applyNumberFormat="1" applyFont="1" applyFill="1" applyAlignment="1">
      <alignment horizontal="right" vertical="center"/>
    </xf>
    <xf numFmtId="1" fontId="14" fillId="0" borderId="20" xfId="3" applyNumberFormat="1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0" fontId="16" fillId="0" borderId="20" xfId="3" applyFont="1" applyBorder="1" applyAlignment="1">
      <alignment horizontal="center" vertical="center"/>
    </xf>
    <xf numFmtId="44" fontId="15" fillId="0" borderId="20" xfId="1" applyFont="1" applyBorder="1" applyAlignment="1">
      <alignment horizontal="right"/>
    </xf>
    <xf numFmtId="0" fontId="15" fillId="0" borderId="20" xfId="1" applyNumberFormat="1" applyFont="1" applyBorder="1" applyAlignment="1">
      <alignment vertical="center"/>
    </xf>
    <xf numFmtId="44" fontId="15" fillId="0" borderId="20" xfId="1" applyFont="1" applyFill="1" applyBorder="1" applyAlignment="1">
      <alignment vertical="center"/>
    </xf>
    <xf numFmtId="9" fontId="15" fillId="0" borderId="20" xfId="2" applyFont="1" applyFill="1" applyBorder="1" applyAlignment="1">
      <alignment horizontal="right" vertical="center"/>
    </xf>
    <xf numFmtId="44" fontId="14" fillId="13" borderId="20" xfId="1" applyFont="1" applyFill="1" applyBorder="1" applyAlignment="1">
      <alignment vertical="center"/>
    </xf>
    <xf numFmtId="1" fontId="14" fillId="3" borderId="0" xfId="3" applyNumberFormat="1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6" fillId="3" borderId="0" xfId="3" applyFont="1" applyFill="1" applyAlignment="1">
      <alignment horizontal="center" vertical="center"/>
    </xf>
    <xf numFmtId="0" fontId="15" fillId="3" borderId="0" xfId="3" applyFont="1" applyFill="1" applyAlignment="1">
      <alignment vertical="center"/>
    </xf>
    <xf numFmtId="44" fontId="15" fillId="3" borderId="0" xfId="1" applyFont="1" applyFill="1" applyAlignment="1">
      <alignment horizontal="right"/>
    </xf>
    <xf numFmtId="0" fontId="15" fillId="3" borderId="0" xfId="1" applyNumberFormat="1" applyFont="1" applyFill="1" applyAlignment="1">
      <alignment vertical="center"/>
    </xf>
    <xf numFmtId="44" fontId="15" fillId="3" borderId="0" xfId="1" applyFont="1" applyFill="1" applyAlignment="1">
      <alignment vertical="center"/>
    </xf>
    <xf numFmtId="9" fontId="15" fillId="3" borderId="0" xfId="2" applyFont="1" applyFill="1" applyAlignment="1">
      <alignment horizontal="right" vertical="center"/>
    </xf>
    <xf numFmtId="44" fontId="14" fillId="3" borderId="0" xfId="1" applyFont="1" applyFill="1" applyAlignment="1">
      <alignment vertical="center"/>
    </xf>
    <xf numFmtId="44" fontId="15" fillId="3" borderId="0" xfId="1" applyFont="1" applyFill="1" applyAlignment="1">
      <alignment horizontal="right" vertical="center"/>
    </xf>
    <xf numFmtId="9" fontId="15" fillId="0" borderId="0" xfId="2" applyFont="1" applyFill="1" applyAlignment="1">
      <alignment horizontal="right" vertical="center"/>
    </xf>
    <xf numFmtId="44" fontId="14" fillId="3" borderId="20" xfId="1" applyFont="1" applyFill="1" applyBorder="1" applyAlignment="1">
      <alignment vertical="center"/>
    </xf>
    <xf numFmtId="44" fontId="15" fillId="3" borderId="20" xfId="1" applyFont="1" applyFill="1" applyBorder="1" applyAlignment="1">
      <alignment vertical="center"/>
    </xf>
    <xf numFmtId="1" fontId="14" fillId="15" borderId="0" xfId="3" applyNumberFormat="1" applyFont="1" applyFill="1" applyAlignment="1">
      <alignment vertical="center"/>
    </xf>
    <xf numFmtId="0" fontId="14" fillId="15" borderId="0" xfId="3" applyFont="1" applyFill="1" applyAlignment="1">
      <alignment vertical="center"/>
    </xf>
    <xf numFmtId="0" fontId="15" fillId="15" borderId="0" xfId="3" applyFont="1" applyFill="1" applyAlignment="1">
      <alignment vertical="center"/>
    </xf>
    <xf numFmtId="0" fontId="16" fillId="15" borderId="0" xfId="3" applyFont="1" applyFill="1" applyAlignment="1">
      <alignment horizontal="center" vertical="center"/>
    </xf>
    <xf numFmtId="44" fontId="15" fillId="15" borderId="0" xfId="1" applyFont="1" applyFill="1" applyAlignment="1">
      <alignment horizontal="right"/>
    </xf>
    <xf numFmtId="0" fontId="15" fillId="15" borderId="0" xfId="1" applyNumberFormat="1" applyFont="1" applyFill="1" applyAlignment="1">
      <alignment vertical="center"/>
    </xf>
    <xf numFmtId="44" fontId="15" fillId="15" borderId="0" xfId="1" applyFont="1" applyFill="1" applyAlignment="1">
      <alignment vertical="center"/>
    </xf>
    <xf numFmtId="9" fontId="15" fillId="15" borderId="0" xfId="2" applyFont="1" applyFill="1" applyAlignment="1">
      <alignment horizontal="right" vertical="center"/>
    </xf>
    <xf numFmtId="44" fontId="14" fillId="15" borderId="0" xfId="1" applyFont="1" applyFill="1" applyAlignment="1">
      <alignment vertical="center"/>
    </xf>
    <xf numFmtId="44" fontId="15" fillId="15" borderId="0" xfId="1" applyFont="1" applyFill="1" applyAlignment="1">
      <alignment horizontal="right" vertical="center"/>
    </xf>
    <xf numFmtId="44" fontId="14" fillId="0" borderId="0" xfId="1" applyFont="1" applyAlignment="1">
      <alignment vertical="center"/>
    </xf>
    <xf numFmtId="1" fontId="17" fillId="0" borderId="0" xfId="3" applyNumberFormat="1" applyFont="1" applyAlignment="1">
      <alignment vertical="center"/>
    </xf>
    <xf numFmtId="0" fontId="12" fillId="15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44" fontId="12" fillId="0" borderId="0" xfId="1" applyFont="1" applyAlignment="1">
      <alignment horizontal="right"/>
    </xf>
    <xf numFmtId="0" fontId="12" fillId="0" borderId="0" xfId="1" applyNumberFormat="1" applyFont="1" applyAlignment="1">
      <alignment vertical="center"/>
    </xf>
    <xf numFmtId="44" fontId="12" fillId="0" borderId="0" xfId="1" applyFont="1" applyFill="1" applyAlignment="1">
      <alignment vertical="center"/>
    </xf>
    <xf numFmtId="9" fontId="12" fillId="0" borderId="0" xfId="2" applyFont="1" applyAlignment="1">
      <alignment horizontal="right" vertical="center"/>
    </xf>
    <xf numFmtId="44" fontId="17" fillId="0" borderId="0" xfId="1" applyFont="1" applyAlignment="1">
      <alignment vertical="center"/>
    </xf>
    <xf numFmtId="44" fontId="12" fillId="0" borderId="0" xfId="1" applyFont="1" applyAlignment="1">
      <alignment vertical="center"/>
    </xf>
    <xf numFmtId="44" fontId="12" fillId="0" borderId="0" xfId="3" applyNumberFormat="1" applyFont="1" applyAlignment="1">
      <alignment vertical="center"/>
    </xf>
    <xf numFmtId="44" fontId="14" fillId="15" borderId="20" xfId="1" applyFont="1" applyFill="1" applyBorder="1" applyAlignment="1">
      <alignment vertical="center"/>
    </xf>
    <xf numFmtId="0" fontId="16" fillId="13" borderId="0" xfId="3" applyFont="1" applyFill="1" applyAlignment="1">
      <alignment horizontal="center" vertical="center"/>
    </xf>
    <xf numFmtId="44" fontId="15" fillId="16" borderId="0" xfId="1" applyFont="1" applyFill="1" applyAlignment="1">
      <alignment vertical="center"/>
    </xf>
    <xf numFmtId="9" fontId="15" fillId="16" borderId="0" xfId="2" applyFont="1" applyFill="1" applyAlignment="1">
      <alignment horizontal="right" vertical="center"/>
    </xf>
    <xf numFmtId="44" fontId="15" fillId="13" borderId="0" xfId="1" applyFont="1" applyFill="1" applyAlignment="1">
      <alignment horizontal="right" vertical="center"/>
    </xf>
    <xf numFmtId="0" fontId="16" fillId="0" borderId="20" xfId="3" applyFont="1" applyFill="1" applyBorder="1" applyAlignment="1">
      <alignment horizontal="center" vertical="center"/>
    </xf>
    <xf numFmtId="44" fontId="14" fillId="16" borderId="20" xfId="1" applyFont="1" applyFill="1" applyBorder="1" applyAlignment="1">
      <alignment vertical="center"/>
    </xf>
    <xf numFmtId="1" fontId="14" fillId="11" borderId="0" xfId="3" applyNumberFormat="1" applyFont="1" applyFill="1" applyAlignment="1">
      <alignment vertical="center"/>
    </xf>
    <xf numFmtId="0" fontId="14" fillId="11" borderId="0" xfId="3" applyFont="1" applyFill="1" applyAlignment="1">
      <alignment vertical="center"/>
    </xf>
    <xf numFmtId="0" fontId="16" fillId="11" borderId="0" xfId="3" applyFont="1" applyFill="1" applyAlignment="1">
      <alignment horizontal="center" vertical="center"/>
    </xf>
    <xf numFmtId="0" fontId="15" fillId="11" borderId="0" xfId="3" applyFont="1" applyFill="1" applyAlignment="1">
      <alignment vertical="center"/>
    </xf>
    <xf numFmtId="44" fontId="15" fillId="11" borderId="0" xfId="1" applyFont="1" applyFill="1" applyAlignment="1">
      <alignment horizontal="right"/>
    </xf>
    <xf numFmtId="0" fontId="15" fillId="11" borderId="0" xfId="1" applyNumberFormat="1" applyFont="1" applyFill="1" applyAlignment="1">
      <alignment vertical="center"/>
    </xf>
    <xf numFmtId="44" fontId="15" fillId="11" borderId="0" xfId="1" applyFont="1" applyFill="1" applyAlignment="1">
      <alignment vertical="center"/>
    </xf>
    <xf numFmtId="9" fontId="15" fillId="11" borderId="0" xfId="2" applyFont="1" applyFill="1" applyAlignment="1">
      <alignment horizontal="right" vertical="center"/>
    </xf>
    <xf numFmtId="44" fontId="14" fillId="11" borderId="0" xfId="1" applyFont="1" applyFill="1" applyAlignment="1">
      <alignment vertical="center"/>
    </xf>
    <xf numFmtId="44" fontId="15" fillId="11" borderId="0" xfId="1" applyFont="1" applyFill="1" applyAlignment="1">
      <alignment horizontal="right" vertical="center"/>
    </xf>
    <xf numFmtId="0" fontId="12" fillId="4" borderId="0" xfId="3" applyFont="1" applyFill="1" applyAlignment="1">
      <alignment vertical="center"/>
    </xf>
    <xf numFmtId="0" fontId="18" fillId="0" borderId="0" xfId="3" applyFont="1" applyAlignment="1">
      <alignment horizontal="center" vertical="center" wrapText="1"/>
    </xf>
    <xf numFmtId="44" fontId="12" fillId="0" borderId="0" xfId="1" applyFont="1" applyAlignment="1">
      <alignment horizontal="right" wrapText="1"/>
    </xf>
    <xf numFmtId="9" fontId="12" fillId="0" borderId="0" xfId="2" applyFont="1" applyAlignment="1">
      <alignment horizontal="right" vertical="center" wrapText="1"/>
    </xf>
    <xf numFmtId="44" fontId="14" fillId="11" borderId="20" xfId="1" applyFont="1" applyFill="1" applyBorder="1" applyAlignment="1">
      <alignment vertical="center"/>
    </xf>
    <xf numFmtId="1" fontId="14" fillId="2" borderId="0" xfId="3" applyNumberFormat="1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9" fillId="2" borderId="0" xfId="3" applyFont="1" applyFill="1" applyAlignment="1">
      <alignment horizontal="center" vertical="center"/>
    </xf>
    <xf numFmtId="44" fontId="14" fillId="2" borderId="0" xfId="1" applyFont="1" applyFill="1" applyAlignment="1">
      <alignment horizontal="right"/>
    </xf>
    <xf numFmtId="0" fontId="14" fillId="2" borderId="0" xfId="1" applyNumberFormat="1" applyFont="1" applyFill="1" applyAlignment="1">
      <alignment vertical="center"/>
    </xf>
    <xf numFmtId="44" fontId="15" fillId="2" borderId="0" xfId="1" applyFont="1" applyFill="1" applyAlignment="1">
      <alignment vertical="center"/>
    </xf>
    <xf numFmtId="9" fontId="15" fillId="2" borderId="0" xfId="2" applyFont="1" applyFill="1" applyAlignment="1">
      <alignment horizontal="right" vertical="center"/>
    </xf>
    <xf numFmtId="44" fontId="14" fillId="2" borderId="0" xfId="1" applyFont="1" applyFill="1" applyAlignment="1">
      <alignment vertical="center"/>
    </xf>
    <xf numFmtId="44" fontId="15" fillId="2" borderId="0" xfId="1" applyFont="1" applyFill="1" applyAlignment="1">
      <alignment horizontal="right" vertical="center"/>
    </xf>
    <xf numFmtId="44" fontId="14" fillId="2" borderId="20" xfId="1" applyFont="1" applyFill="1" applyBorder="1" applyAlignment="1">
      <alignment vertical="center"/>
    </xf>
    <xf numFmtId="44" fontId="15" fillId="2" borderId="20" xfId="1" applyFont="1" applyFill="1" applyBorder="1" applyAlignment="1">
      <alignment vertical="center"/>
    </xf>
    <xf numFmtId="1" fontId="14" fillId="6" borderId="0" xfId="3" applyNumberFormat="1" applyFont="1" applyFill="1" applyAlignment="1">
      <alignment vertical="center"/>
    </xf>
    <xf numFmtId="0" fontId="14" fillId="6" borderId="0" xfId="3" applyFont="1" applyFill="1" applyAlignment="1">
      <alignment vertical="center"/>
    </xf>
    <xf numFmtId="0" fontId="15" fillId="6" borderId="0" xfId="3" applyFont="1" applyFill="1" applyAlignment="1">
      <alignment vertical="center"/>
    </xf>
    <xf numFmtId="0" fontId="16" fillId="6" borderId="0" xfId="3" applyFont="1" applyFill="1" applyAlignment="1">
      <alignment horizontal="center" vertical="center"/>
    </xf>
    <xf numFmtId="44" fontId="15" fillId="6" borderId="0" xfId="1" applyFont="1" applyFill="1" applyAlignment="1">
      <alignment horizontal="right"/>
    </xf>
    <xf numFmtId="0" fontId="15" fillId="6" borderId="0" xfId="1" applyNumberFormat="1" applyFont="1" applyFill="1" applyAlignment="1">
      <alignment vertical="center"/>
    </xf>
    <xf numFmtId="44" fontId="15" fillId="6" borderId="0" xfId="1" applyFont="1" applyFill="1" applyAlignment="1">
      <alignment vertical="center"/>
    </xf>
    <xf numFmtId="9" fontId="15" fillId="6" borderId="0" xfId="2" applyFont="1" applyFill="1" applyAlignment="1">
      <alignment horizontal="right" vertical="center"/>
    </xf>
    <xf numFmtId="44" fontId="14" fillId="6" borderId="0" xfId="1" applyFont="1" applyFill="1" applyAlignment="1">
      <alignment vertical="center"/>
    </xf>
    <xf numFmtId="44" fontId="15" fillId="6" borderId="0" xfId="1" applyFont="1" applyFill="1" applyAlignment="1">
      <alignment horizontal="right" vertical="center"/>
    </xf>
    <xf numFmtId="44" fontId="14" fillId="6" borderId="20" xfId="1" applyFont="1" applyFill="1" applyBorder="1" applyAlignment="1">
      <alignment vertical="center"/>
    </xf>
    <xf numFmtId="44" fontId="15" fillId="6" borderId="20" xfId="1" applyFont="1" applyFill="1" applyBorder="1" applyAlignment="1">
      <alignment vertical="center"/>
    </xf>
    <xf numFmtId="0" fontId="15" fillId="2" borderId="0" xfId="3" applyFont="1" applyFill="1" applyAlignment="1">
      <alignment vertical="center"/>
    </xf>
    <xf numFmtId="44" fontId="15" fillId="2" borderId="0" xfId="1" applyFont="1" applyFill="1" applyAlignment="1">
      <alignment horizontal="right"/>
    </xf>
    <xf numFmtId="0" fontId="15" fillId="2" borderId="0" xfId="1" applyNumberFormat="1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44" fontId="12" fillId="0" borderId="0" xfId="1" applyFont="1" applyFill="1" applyAlignment="1">
      <alignment horizontal="right"/>
    </xf>
    <xf numFmtId="9" fontId="12" fillId="0" borderId="0" xfId="2" applyFont="1" applyFill="1" applyAlignment="1">
      <alignment horizontal="right" vertical="center"/>
    </xf>
    <xf numFmtId="1" fontId="14" fillId="17" borderId="0" xfId="3" applyNumberFormat="1" applyFont="1" applyFill="1" applyAlignment="1">
      <alignment vertical="center"/>
    </xf>
    <xf numFmtId="0" fontId="14" fillId="17" borderId="0" xfId="3" applyFont="1" applyFill="1" applyAlignment="1">
      <alignment vertical="center"/>
    </xf>
    <xf numFmtId="0" fontId="16" fillId="17" borderId="0" xfId="3" applyFont="1" applyFill="1" applyAlignment="1">
      <alignment horizontal="center" vertical="center"/>
    </xf>
    <xf numFmtId="0" fontId="15" fillId="17" borderId="0" xfId="3" applyFont="1" applyFill="1" applyAlignment="1">
      <alignment vertical="center"/>
    </xf>
    <xf numFmtId="44" fontId="15" fillId="17" borderId="0" xfId="1" applyFont="1" applyFill="1" applyAlignment="1">
      <alignment horizontal="right"/>
    </xf>
    <xf numFmtId="0" fontId="15" fillId="17" borderId="0" xfId="1" applyNumberFormat="1" applyFont="1" applyFill="1" applyAlignment="1">
      <alignment vertical="center"/>
    </xf>
    <xf numFmtId="44" fontId="15" fillId="17" borderId="0" xfId="1" applyFont="1" applyFill="1" applyAlignment="1">
      <alignment vertical="center"/>
    </xf>
    <xf numFmtId="9" fontId="15" fillId="17" borderId="0" xfId="2" applyFont="1" applyFill="1" applyAlignment="1">
      <alignment horizontal="right" vertical="center"/>
    </xf>
    <xf numFmtId="44" fontId="14" fillId="17" borderId="0" xfId="1" applyFont="1" applyFill="1" applyAlignment="1">
      <alignment vertical="center"/>
    </xf>
    <xf numFmtId="44" fontId="15" fillId="17" borderId="0" xfId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44" fontId="14" fillId="17" borderId="20" xfId="1" applyFont="1" applyFill="1" applyBorder="1" applyAlignment="1">
      <alignment vertical="center"/>
    </xf>
    <xf numFmtId="44" fontId="15" fillId="17" borderId="20" xfId="1" applyFont="1" applyFill="1" applyBorder="1" applyAlignment="1">
      <alignment vertical="center"/>
    </xf>
    <xf numFmtId="164" fontId="15" fillId="0" borderId="0" xfId="2" applyNumberFormat="1" applyFont="1" applyFill="1" applyAlignment="1">
      <alignment horizontal="right" vertical="center"/>
    </xf>
    <xf numFmtId="1" fontId="17" fillId="0" borderId="0" xfId="3" applyNumberFormat="1" applyFont="1" applyFill="1" applyAlignment="1">
      <alignment vertical="center"/>
    </xf>
    <xf numFmtId="1" fontId="14" fillId="8" borderId="0" xfId="3" applyNumberFormat="1" applyFont="1" applyFill="1" applyAlignment="1">
      <alignment vertical="center"/>
    </xf>
    <xf numFmtId="0" fontId="15" fillId="8" borderId="0" xfId="3" applyFont="1" applyFill="1" applyAlignment="1">
      <alignment vertical="center"/>
    </xf>
    <xf numFmtId="0" fontId="19" fillId="8" borderId="0" xfId="3" applyFont="1" applyFill="1" applyAlignment="1">
      <alignment horizontal="center" vertical="center"/>
    </xf>
    <xf numFmtId="44" fontId="15" fillId="8" borderId="0" xfId="1" applyFont="1" applyFill="1" applyAlignment="1">
      <alignment horizontal="right"/>
    </xf>
    <xf numFmtId="0" fontId="15" fillId="8" borderId="0" xfId="1" applyNumberFormat="1" applyFont="1" applyFill="1" applyAlignment="1">
      <alignment vertical="center"/>
    </xf>
    <xf numFmtId="44" fontId="15" fillId="8" borderId="0" xfId="1" applyFont="1" applyFill="1" applyAlignment="1">
      <alignment vertical="center"/>
    </xf>
    <xf numFmtId="9" fontId="15" fillId="8" borderId="0" xfId="2" applyFont="1" applyFill="1" applyAlignment="1">
      <alignment horizontal="right" vertical="center"/>
    </xf>
    <xf numFmtId="44" fontId="14" fillId="8" borderId="0" xfId="1" applyFont="1" applyFill="1" applyAlignment="1">
      <alignment vertical="center"/>
    </xf>
    <xf numFmtId="44" fontId="15" fillId="8" borderId="0" xfId="1" applyFont="1" applyFill="1" applyAlignment="1">
      <alignment horizontal="right" vertical="center"/>
    </xf>
    <xf numFmtId="44" fontId="14" fillId="8" borderId="20" xfId="1" applyFont="1" applyFill="1" applyBorder="1" applyAlignment="1">
      <alignment vertical="center"/>
    </xf>
    <xf numFmtId="44" fontId="15" fillId="8" borderId="20" xfId="1" applyFont="1" applyFill="1" applyBorder="1" applyAlignment="1">
      <alignment vertical="center"/>
    </xf>
    <xf numFmtId="1" fontId="14" fillId="18" borderId="0" xfId="3" applyNumberFormat="1" applyFont="1" applyFill="1" applyAlignment="1">
      <alignment vertical="center"/>
    </xf>
    <xf numFmtId="0" fontId="14" fillId="18" borderId="0" xfId="3" applyFont="1" applyFill="1" applyAlignment="1">
      <alignment vertical="center"/>
    </xf>
    <xf numFmtId="0" fontId="19" fillId="18" borderId="0" xfId="3" applyFont="1" applyFill="1" applyAlignment="1">
      <alignment horizontal="center" vertical="center"/>
    </xf>
    <xf numFmtId="0" fontId="15" fillId="18" borderId="0" xfId="3" applyFont="1" applyFill="1" applyAlignment="1">
      <alignment vertical="center"/>
    </xf>
    <xf numFmtId="44" fontId="15" fillId="18" borderId="0" xfId="1" applyFont="1" applyFill="1" applyAlignment="1">
      <alignment horizontal="right"/>
    </xf>
    <xf numFmtId="0" fontId="15" fillId="18" borderId="0" xfId="1" applyNumberFormat="1" applyFont="1" applyFill="1" applyAlignment="1">
      <alignment vertical="center"/>
    </xf>
    <xf numFmtId="44" fontId="15" fillId="18" borderId="0" xfId="1" applyFont="1" applyFill="1" applyAlignment="1">
      <alignment vertical="center"/>
    </xf>
    <xf numFmtId="9" fontId="15" fillId="18" borderId="0" xfId="2" applyFont="1" applyFill="1" applyAlignment="1">
      <alignment horizontal="right" vertical="center"/>
    </xf>
    <xf numFmtId="44" fontId="14" fillId="18" borderId="0" xfId="1" applyFont="1" applyFill="1" applyAlignment="1">
      <alignment vertical="center"/>
    </xf>
    <xf numFmtId="44" fontId="15" fillId="18" borderId="0" xfId="1" applyFont="1" applyFill="1" applyAlignment="1">
      <alignment horizontal="right" vertical="center"/>
    </xf>
    <xf numFmtId="10" fontId="12" fillId="0" borderId="0" xfId="2" applyNumberFormat="1" applyFont="1" applyFill="1" applyAlignment="1">
      <alignment horizontal="right" vertical="center"/>
    </xf>
    <xf numFmtId="44" fontId="15" fillId="0" borderId="0" xfId="1" applyFont="1" applyFill="1" applyAlignment="1">
      <alignment horizontal="right" vertical="center"/>
    </xf>
    <xf numFmtId="44" fontId="14" fillId="0" borderId="0" xfId="1" applyFont="1" applyAlignment="1">
      <alignment horizontal="right"/>
    </xf>
    <xf numFmtId="44" fontId="15" fillId="0" borderId="21" xfId="1" applyFont="1" applyBorder="1" applyAlignment="1">
      <alignment vertical="center"/>
    </xf>
    <xf numFmtId="43" fontId="15" fillId="0" borderId="0" xfId="3" applyNumberFormat="1" applyFont="1" applyAlignment="1">
      <alignment vertical="center"/>
    </xf>
    <xf numFmtId="0" fontId="15" fillId="0" borderId="0" xfId="3" applyFont="1" applyAlignment="1">
      <alignment horizontal="right" vertical="center"/>
    </xf>
    <xf numFmtId="43" fontId="14" fillId="0" borderId="0" xfId="3" applyNumberFormat="1" applyFont="1" applyAlignment="1">
      <alignment vertical="center"/>
    </xf>
    <xf numFmtId="164" fontId="12" fillId="0" borderId="0" xfId="2" applyNumberFormat="1" applyFont="1" applyFill="1" applyAlignment="1">
      <alignment horizontal="right" vertical="center"/>
    </xf>
    <xf numFmtId="1" fontId="15" fillId="0" borderId="0" xfId="3" applyNumberFormat="1" applyFont="1" applyFill="1" applyAlignment="1">
      <alignment vertical="center"/>
    </xf>
    <xf numFmtId="44" fontId="8" fillId="0" borderId="7" xfId="1" applyNumberFormat="1" applyFont="1" applyFill="1" applyBorder="1" applyAlignment="1">
      <alignment vertical="center"/>
    </xf>
    <xf numFmtId="44" fontId="7" fillId="0" borderId="0" xfId="1" applyFont="1" applyAlignment="1">
      <alignment vertical="center"/>
    </xf>
    <xf numFmtId="0" fontId="9" fillId="9" borderId="9" xfId="0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44" fontId="8" fillId="6" borderId="19" xfId="1" applyNumberFormat="1" applyFont="1" applyFill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1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8" fillId="0" borderId="0" xfId="1" applyNumberFormat="1" applyFont="1" applyAlignment="1">
      <alignment vertical="center"/>
    </xf>
    <xf numFmtId="1" fontId="7" fillId="0" borderId="0" xfId="4" applyNumberFormat="1" applyFont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8" fillId="0" borderId="0" xfId="1" applyNumberFormat="1" applyFont="1" applyBorder="1" applyAlignment="1">
      <alignment vertical="center"/>
    </xf>
    <xf numFmtId="2" fontId="8" fillId="0" borderId="0" xfId="1" applyNumberFormat="1" applyFont="1" applyAlignment="1">
      <alignment vertical="center"/>
    </xf>
    <xf numFmtId="44" fontId="15" fillId="0" borderId="0" xfId="1" applyFont="1" applyFill="1" applyAlignment="1">
      <alignment horizontal="right" vertical="center"/>
    </xf>
    <xf numFmtId="44" fontId="8" fillId="0" borderId="3" xfId="0" applyNumberFormat="1" applyFont="1" applyBorder="1" applyAlignment="1">
      <alignment horizontal="center" vertical="center"/>
    </xf>
    <xf numFmtId="44" fontId="8" fillId="2" borderId="6" xfId="0" applyNumberFormat="1" applyFont="1" applyFill="1" applyBorder="1" applyAlignment="1">
      <alignment vertical="center"/>
    </xf>
    <xf numFmtId="44" fontId="8" fillId="2" borderId="5" xfId="0" applyNumberFormat="1" applyFont="1" applyFill="1" applyBorder="1" applyAlignment="1">
      <alignment vertical="center"/>
    </xf>
    <xf numFmtId="44" fontId="8" fillId="2" borderId="13" xfId="0" applyNumberFormat="1" applyFont="1" applyFill="1" applyBorder="1" applyAlignment="1">
      <alignment vertical="center"/>
    </xf>
    <xf numFmtId="44" fontId="8" fillId="5" borderId="16" xfId="1" applyNumberFormat="1" applyFont="1" applyFill="1" applyBorder="1" applyAlignment="1">
      <alignment vertical="center"/>
    </xf>
    <xf numFmtId="44" fontId="8" fillId="5" borderId="12" xfId="1" applyNumberFormat="1" applyFont="1" applyFill="1" applyBorder="1" applyAlignment="1">
      <alignment vertical="center"/>
    </xf>
    <xf numFmtId="44" fontId="8" fillId="0" borderId="0" xfId="1" applyNumberFormat="1" applyFont="1" applyFill="1" applyAlignment="1">
      <alignment vertical="center"/>
    </xf>
    <xf numFmtId="44" fontId="8" fillId="0" borderId="0" xfId="0" applyNumberFormat="1" applyFont="1" applyAlignment="1">
      <alignment vertical="center"/>
    </xf>
    <xf numFmtId="44" fontId="8" fillId="5" borderId="0" xfId="1" applyNumberFormat="1" applyFont="1" applyFill="1" applyBorder="1" applyAlignment="1">
      <alignment vertical="center"/>
    </xf>
    <xf numFmtId="44" fontId="8" fillId="6" borderId="0" xfId="1" applyNumberFormat="1" applyFont="1" applyFill="1" applyBorder="1" applyAlignment="1">
      <alignment vertical="center"/>
    </xf>
    <xf numFmtId="44" fontId="8" fillId="8" borderId="0" xfId="1" applyNumberFormat="1" applyFont="1" applyFill="1" applyBorder="1" applyAlignment="1">
      <alignment vertical="center"/>
    </xf>
    <xf numFmtId="44" fontId="8" fillId="4" borderId="16" xfId="1" applyNumberFormat="1" applyFont="1" applyFill="1" applyBorder="1" applyAlignment="1">
      <alignment vertical="center"/>
    </xf>
    <xf numFmtId="44" fontId="8" fillId="8" borderId="5" xfId="0" applyNumberFormat="1" applyFont="1" applyFill="1" applyBorder="1" applyAlignment="1">
      <alignment vertical="center"/>
    </xf>
    <xf numFmtId="44" fontId="8" fillId="8" borderId="13" xfId="0" applyNumberFormat="1" applyFont="1" applyFill="1" applyBorder="1" applyAlignment="1">
      <alignment vertical="center"/>
    </xf>
    <xf numFmtId="44" fontId="8" fillId="9" borderId="10" xfId="0" applyNumberFormat="1" applyFont="1" applyFill="1" applyBorder="1" applyAlignment="1">
      <alignment vertical="center"/>
    </xf>
    <xf numFmtId="44" fontId="8" fillId="9" borderId="19" xfId="0" applyNumberFormat="1" applyFont="1" applyFill="1" applyBorder="1" applyAlignment="1">
      <alignment vertical="center"/>
    </xf>
    <xf numFmtId="44" fontId="8" fillId="9" borderId="5" xfId="0" applyNumberFormat="1" applyFont="1" applyFill="1" applyBorder="1" applyAlignment="1">
      <alignment vertical="center"/>
    </xf>
    <xf numFmtId="44" fontId="8" fillId="9" borderId="13" xfId="0" applyNumberFormat="1" applyFont="1" applyFill="1" applyBorder="1" applyAlignment="1">
      <alignment vertical="center"/>
    </xf>
    <xf numFmtId="44" fontId="8" fillId="0" borderId="19" xfId="1" applyNumberFormat="1" applyFont="1" applyFill="1" applyBorder="1" applyAlignment="1">
      <alignment vertical="center"/>
    </xf>
    <xf numFmtId="44" fontId="8" fillId="4" borderId="5" xfId="0" applyNumberFormat="1" applyFont="1" applyFill="1" applyBorder="1" applyAlignment="1">
      <alignment vertical="center"/>
    </xf>
    <xf numFmtId="44" fontId="8" fillId="4" borderId="13" xfId="0" applyNumberFormat="1" applyFont="1" applyFill="1" applyBorder="1" applyAlignment="1">
      <alignment vertical="center"/>
    </xf>
    <xf numFmtId="44" fontId="8" fillId="6" borderId="9" xfId="1" applyNumberFormat="1" applyFont="1" applyFill="1" applyBorder="1" applyAlignment="1">
      <alignment vertical="center"/>
    </xf>
    <xf numFmtId="44" fontId="8" fillId="11" borderId="5" xfId="0" applyNumberFormat="1" applyFont="1" applyFill="1" applyBorder="1" applyAlignment="1">
      <alignment vertical="center"/>
    </xf>
    <xf numFmtId="44" fontId="8" fillId="11" borderId="13" xfId="0" applyNumberFormat="1" applyFont="1" applyFill="1" applyBorder="1" applyAlignment="1">
      <alignment vertical="center"/>
    </xf>
    <xf numFmtId="44" fontId="8" fillId="11" borderId="5" xfId="1" applyNumberFormat="1" applyFont="1" applyFill="1" applyBorder="1" applyAlignment="1">
      <alignment vertical="center"/>
    </xf>
    <xf numFmtId="44" fontId="8" fillId="11" borderId="13" xfId="1" applyNumberFormat="1" applyFont="1" applyFill="1" applyBorder="1" applyAlignment="1">
      <alignment vertical="center"/>
    </xf>
    <xf numFmtId="44" fontId="8" fillId="0" borderId="18" xfId="1" applyNumberFormat="1" applyFont="1" applyBorder="1" applyAlignment="1">
      <alignment vertical="center"/>
    </xf>
    <xf numFmtId="44" fontId="8" fillId="0" borderId="0" xfId="0" applyNumberFormat="1" applyFont="1" applyFill="1" applyBorder="1" applyAlignment="1">
      <alignment vertical="center"/>
    </xf>
    <xf numFmtId="44" fontId="17" fillId="0" borderId="0" xfId="1" applyFont="1" applyFill="1" applyAlignment="1">
      <alignment vertical="center"/>
    </xf>
    <xf numFmtId="0" fontId="15" fillId="0" borderId="0" xfId="1" applyNumberFormat="1" applyFont="1" applyFill="1" applyAlignment="1">
      <alignment vertical="center"/>
    </xf>
    <xf numFmtId="0" fontId="14" fillId="8" borderId="0" xfId="3" applyFont="1" applyFill="1" applyAlignment="1">
      <alignment vertical="center"/>
    </xf>
    <xf numFmtId="44" fontId="14" fillId="8" borderId="0" xfId="1" applyFont="1" applyFill="1" applyAlignment="1">
      <alignment horizontal="right"/>
    </xf>
    <xf numFmtId="0" fontId="14" fillId="8" borderId="0" xfId="1" applyNumberFormat="1" applyFont="1" applyFill="1" applyAlignment="1">
      <alignment vertical="center"/>
    </xf>
    <xf numFmtId="44" fontId="14" fillId="8" borderId="0" xfId="1" applyFont="1" applyFill="1" applyAlignment="1">
      <alignment horizontal="right" vertical="center"/>
    </xf>
    <xf numFmtId="0" fontId="14" fillId="0" borderId="0" xfId="3" applyFont="1" applyAlignment="1">
      <alignment vertical="center"/>
    </xf>
    <xf numFmtId="44" fontId="8" fillId="0" borderId="17" xfId="0" applyNumberFormat="1" applyFont="1" applyBorder="1" applyAlignment="1">
      <alignment horizontal="center" vertical="center"/>
    </xf>
    <xf numFmtId="44" fontId="7" fillId="0" borderId="0" xfId="0" applyNumberFormat="1" applyFont="1" applyAlignment="1">
      <alignment vertical="center"/>
    </xf>
    <xf numFmtId="44" fontId="8" fillId="8" borderId="11" xfId="1" applyNumberFormat="1" applyFont="1" applyFill="1" applyBorder="1" applyAlignment="1">
      <alignment vertical="center"/>
    </xf>
    <xf numFmtId="0" fontId="8" fillId="8" borderId="9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4" fontId="8" fillId="8" borderId="18" xfId="1" applyNumberFormat="1" applyFont="1" applyFill="1" applyBorder="1" applyAlignment="1">
      <alignment vertical="center"/>
    </xf>
    <xf numFmtId="44" fontId="8" fillId="0" borderId="6" xfId="1" applyNumberFormat="1" applyFont="1" applyBorder="1" applyAlignment="1">
      <alignment vertical="center"/>
    </xf>
    <xf numFmtId="44" fontId="8" fillId="0" borderId="15" xfId="1" applyNumberFormat="1" applyFont="1" applyFill="1" applyBorder="1" applyAlignment="1">
      <alignment vertical="center"/>
    </xf>
    <xf numFmtId="44" fontId="8" fillId="0" borderId="10" xfId="1" applyNumberFormat="1" applyFont="1" applyFill="1" applyBorder="1" applyAlignment="1">
      <alignment vertical="center"/>
    </xf>
    <xf numFmtId="1" fontId="7" fillId="0" borderId="0" xfId="1" applyNumberFormat="1" applyFont="1" applyFill="1" applyAlignment="1">
      <alignment vertical="center"/>
    </xf>
    <xf numFmtId="44" fontId="0" fillId="0" borderId="0" xfId="1" applyFont="1"/>
    <xf numFmtId="44" fontId="0" fillId="7" borderId="0" xfId="1" applyFont="1" applyFill="1"/>
    <xf numFmtId="44" fontId="0" fillId="20" borderId="0" xfId="1" applyFont="1" applyFill="1"/>
    <xf numFmtId="0" fontId="0" fillId="0" borderId="6" xfId="0" applyBorder="1"/>
    <xf numFmtId="44" fontId="0" fillId="0" borderId="0" xfId="1" applyFont="1" applyFill="1"/>
    <xf numFmtId="44" fontId="0" fillId="15" borderId="0" xfId="1" applyFont="1" applyFill="1"/>
    <xf numFmtId="0" fontId="0" fillId="0" borderId="0" xfId="0" applyBorder="1"/>
    <xf numFmtId="44" fontId="0" fillId="0" borderId="0" xfId="1" applyFont="1" applyBorder="1"/>
    <xf numFmtId="0" fontId="5" fillId="0" borderId="0" xfId="5" applyFill="1" applyAlignment="1">
      <alignment horizontal="center" vertical="center"/>
    </xf>
    <xf numFmtId="0" fontId="5" fillId="0" borderId="0" xfId="5" applyAlignment="1">
      <alignment horizontal="center" vertical="center"/>
    </xf>
    <xf numFmtId="0" fontId="25" fillId="0" borderId="0" xfId="5" applyFont="1" applyAlignment="1">
      <alignment horizontal="center" vertical="center"/>
    </xf>
    <xf numFmtId="44" fontId="25" fillId="9" borderId="0" xfId="6" applyFont="1" applyFill="1" applyAlignment="1">
      <alignment horizontal="center" vertical="center"/>
    </xf>
    <xf numFmtId="44" fontId="0" fillId="9" borderId="0" xfId="6" applyFont="1" applyFill="1" applyAlignment="1">
      <alignment horizontal="center" vertical="center"/>
    </xf>
    <xf numFmtId="44" fontId="0" fillId="0" borderId="0" xfId="6" applyFont="1" applyAlignment="1">
      <alignment horizontal="center" vertical="center"/>
    </xf>
    <xf numFmtId="44" fontId="24" fillId="0" borderId="0" xfId="6" applyFont="1" applyFill="1" applyAlignment="1">
      <alignment horizontal="center" vertical="center"/>
    </xf>
    <xf numFmtId="0" fontId="5" fillId="9" borderId="0" xfId="5" applyFill="1" applyAlignment="1">
      <alignment horizontal="center" vertical="center"/>
    </xf>
    <xf numFmtId="44" fontId="24" fillId="0" borderId="0" xfId="6" applyFont="1" applyAlignment="1">
      <alignment horizontal="center" vertical="center"/>
    </xf>
    <xf numFmtId="0" fontId="5" fillId="0" borderId="0" xfId="5" applyFill="1" applyAlignment="1">
      <alignment vertical="center"/>
    </xf>
    <xf numFmtId="0" fontId="17" fillId="0" borderId="0" xfId="6" applyNumberFormat="1" applyFont="1" applyAlignment="1">
      <alignment horizontal="center" vertical="center"/>
    </xf>
    <xf numFmtId="0" fontId="24" fillId="0" borderId="0" xfId="6" applyNumberFormat="1" applyFont="1" applyAlignment="1">
      <alignment horizontal="center" vertical="center"/>
    </xf>
    <xf numFmtId="0" fontId="0" fillId="0" borderId="0" xfId="6" applyNumberFormat="1" applyFont="1" applyAlignment="1">
      <alignment horizontal="center" vertical="center"/>
    </xf>
    <xf numFmtId="0" fontId="24" fillId="0" borderId="0" xfId="6" applyNumberFormat="1" applyFont="1" applyFill="1" applyAlignment="1">
      <alignment horizontal="center" vertical="center"/>
    </xf>
    <xf numFmtId="0" fontId="5" fillId="0" borderId="0" xfId="5" applyAlignment="1">
      <alignment vertical="center"/>
    </xf>
    <xf numFmtId="44" fontId="0" fillId="0" borderId="0" xfId="6" applyFont="1" applyAlignment="1">
      <alignment vertical="center"/>
    </xf>
    <xf numFmtId="0" fontId="5" fillId="0" borderId="0" xfId="5" applyFill="1"/>
    <xf numFmtId="0" fontId="5" fillId="0" borderId="0" xfId="5"/>
    <xf numFmtId="0" fontId="25" fillId="0" borderId="0" xfId="5" applyFont="1"/>
    <xf numFmtId="44" fontId="25" fillId="21" borderId="0" xfId="6" applyFont="1" applyFill="1"/>
    <xf numFmtId="44" fontId="0" fillId="0" borderId="0" xfId="6" applyFont="1" applyFill="1"/>
    <xf numFmtId="44" fontId="0" fillId="0" borderId="0" xfId="6" applyFont="1"/>
    <xf numFmtId="44" fontId="0" fillId="6" borderId="0" xfId="6" applyFont="1" applyFill="1"/>
    <xf numFmtId="44" fontId="24" fillId="0" borderId="0" xfId="6" applyFont="1" applyFill="1"/>
    <xf numFmtId="44" fontId="24" fillId="22" borderId="0" xfId="6" applyFont="1" applyFill="1"/>
    <xf numFmtId="44" fontId="25" fillId="0" borderId="0" xfId="6" applyFont="1"/>
    <xf numFmtId="44" fontId="24" fillId="0" borderId="0" xfId="6" applyFont="1"/>
    <xf numFmtId="0" fontId="24" fillId="19" borderId="0" xfId="6" applyNumberFormat="1" applyFont="1" applyFill="1" applyAlignment="1">
      <alignment horizontal="center" vertical="center"/>
    </xf>
    <xf numFmtId="44" fontId="25" fillId="0" borderId="0" xfId="6" applyFont="1" applyFill="1"/>
    <xf numFmtId="44" fontId="0" fillId="9" borderId="0" xfId="6" applyFont="1" applyFill="1" applyAlignment="1">
      <alignment horizontal="center"/>
    </xf>
    <xf numFmtId="0" fontId="17" fillId="0" borderId="0" xfId="7" applyNumberFormat="1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left" vertical="center"/>
    </xf>
    <xf numFmtId="44" fontId="27" fillId="21" borderId="0" xfId="6" applyFont="1" applyFill="1" applyAlignment="1">
      <alignment horizontal="center" vertical="center"/>
    </xf>
    <xf numFmtId="44" fontId="5" fillId="0" borderId="0" xfId="6" applyFont="1" applyAlignment="1">
      <alignment horizontal="center" vertical="center"/>
    </xf>
    <xf numFmtId="44" fontId="5" fillId="0" borderId="0" xfId="6" applyFont="1" applyAlignment="1">
      <alignment vertical="center"/>
    </xf>
    <xf numFmtId="44" fontId="5" fillId="0" borderId="0" xfId="6" applyFont="1"/>
    <xf numFmtId="44" fontId="0" fillId="9" borderId="0" xfId="6" applyFont="1" applyFill="1"/>
    <xf numFmtId="44" fontId="5" fillId="6" borderId="0" xfId="6" applyFont="1" applyFill="1"/>
    <xf numFmtId="44" fontId="15" fillId="6" borderId="0" xfId="6" applyFont="1" applyFill="1"/>
    <xf numFmtId="44" fontId="24" fillId="22" borderId="0" xfId="6" applyFont="1" applyFill="1" applyAlignment="1">
      <alignment horizontal="center" vertical="center"/>
    </xf>
    <xf numFmtId="0" fontId="12" fillId="0" borderId="0" xfId="5" applyFont="1"/>
    <xf numFmtId="0" fontId="24" fillId="17" borderId="0" xfId="6" applyNumberFormat="1" applyFont="1" applyFill="1" applyAlignment="1">
      <alignment horizontal="center" vertical="center"/>
    </xf>
    <xf numFmtId="44" fontId="0" fillId="17" borderId="0" xfId="6" applyFont="1" applyFill="1"/>
    <xf numFmtId="44" fontId="15" fillId="9" borderId="0" xfId="6" applyFont="1" applyFill="1" applyAlignment="1">
      <alignment horizontal="center" vertical="center"/>
    </xf>
    <xf numFmtId="0" fontId="12" fillId="0" borderId="0" xfId="5" applyFont="1" applyFill="1" applyAlignment="1">
      <alignment vertical="center"/>
    </xf>
    <xf numFmtId="44" fontId="0" fillId="21" borderId="0" xfId="6" applyFont="1" applyFill="1"/>
    <xf numFmtId="44" fontId="15" fillId="21" borderId="0" xfId="6" applyFont="1" applyFill="1" applyAlignment="1">
      <alignment horizontal="center" vertical="center"/>
    </xf>
    <xf numFmtId="44" fontId="8" fillId="23" borderId="13" xfId="0" applyNumberFormat="1" applyFont="1" applyFill="1" applyBorder="1" applyAlignment="1">
      <alignment vertical="center"/>
    </xf>
    <xf numFmtId="44" fontId="8" fillId="0" borderId="17" xfId="1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44" fontId="8" fillId="10" borderId="10" xfId="0" applyNumberFormat="1" applyFont="1" applyFill="1" applyBorder="1" applyAlignment="1">
      <alignment vertical="center"/>
    </xf>
    <xf numFmtId="44" fontId="8" fillId="10" borderId="19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vertical="center"/>
    </xf>
    <xf numFmtId="0" fontId="7" fillId="8" borderId="5" xfId="0" applyFont="1" applyFill="1" applyBorder="1" applyAlignment="1">
      <alignment vertical="center"/>
    </xf>
    <xf numFmtId="44" fontId="8" fillId="8" borderId="5" xfId="1" applyNumberFormat="1" applyFont="1" applyFill="1" applyBorder="1" applyAlignment="1">
      <alignment vertical="center"/>
    </xf>
    <xf numFmtId="44" fontId="8" fillId="6" borderId="10" xfId="1" applyNumberFormat="1" applyFont="1" applyFill="1" applyBorder="1" applyAlignment="1">
      <alignment vertical="center"/>
    </xf>
    <xf numFmtId="0" fontId="28" fillId="7" borderId="14" xfId="0" applyFont="1" applyFill="1" applyBorder="1" applyAlignment="1">
      <alignment vertical="center"/>
    </xf>
    <xf numFmtId="0" fontId="22" fillId="7" borderId="15" xfId="0" applyFont="1" applyFill="1" applyBorder="1" applyAlignment="1">
      <alignment vertical="center"/>
    </xf>
    <xf numFmtId="44" fontId="23" fillId="7" borderId="15" xfId="0" applyNumberFormat="1" applyFont="1" applyFill="1" applyBorder="1" applyAlignment="1">
      <alignment vertical="center"/>
    </xf>
    <xf numFmtId="44" fontId="23" fillId="23" borderId="17" xfId="0" applyNumberFormat="1" applyFont="1" applyFill="1" applyBorder="1" applyAlignment="1">
      <alignment vertical="center"/>
    </xf>
    <xf numFmtId="44" fontId="8" fillId="12" borderId="8" xfId="1" applyFont="1" applyFill="1" applyBorder="1" applyAlignment="1">
      <alignment vertical="center"/>
    </xf>
    <xf numFmtId="44" fontId="8" fillId="0" borderId="14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17" fontId="8" fillId="0" borderId="17" xfId="0" applyNumberFormat="1" applyFont="1" applyBorder="1" applyAlignment="1">
      <alignment horizontal="center" vertical="center"/>
    </xf>
    <xf numFmtId="16" fontId="7" fillId="0" borderId="0" xfId="0" applyNumberFormat="1" applyFont="1" applyAlignment="1">
      <alignment vertical="center"/>
    </xf>
    <xf numFmtId="0" fontId="8" fillId="0" borderId="15" xfId="0" applyFont="1" applyFill="1" applyBorder="1" applyAlignment="1">
      <alignment vertical="center"/>
    </xf>
    <xf numFmtId="44" fontId="29" fillId="0" borderId="0" xfId="0" applyNumberFormat="1" applyFont="1" applyAlignment="1">
      <alignment vertical="center"/>
    </xf>
    <xf numFmtId="44" fontId="7" fillId="8" borderId="9" xfId="1" applyFont="1" applyFill="1" applyBorder="1" applyAlignment="1">
      <alignment vertical="center"/>
    </xf>
    <xf numFmtId="44" fontId="7" fillId="8" borderId="10" xfId="1" applyFont="1" applyFill="1" applyBorder="1" applyAlignment="1">
      <alignment vertical="center"/>
    </xf>
    <xf numFmtId="44" fontId="8" fillId="8" borderId="8" xfId="1" applyNumberFormat="1" applyFont="1" applyFill="1" applyBorder="1" applyAlignment="1">
      <alignment vertical="center"/>
    </xf>
    <xf numFmtId="0" fontId="9" fillId="24" borderId="4" xfId="0" applyFont="1" applyFill="1" applyBorder="1" applyAlignment="1">
      <alignment vertical="center"/>
    </xf>
    <xf numFmtId="0" fontId="9" fillId="24" borderId="5" xfId="0" applyFont="1" applyFill="1" applyBorder="1" applyAlignment="1">
      <alignment vertical="center"/>
    </xf>
    <xf numFmtId="44" fontId="8" fillId="24" borderId="5" xfId="0" applyNumberFormat="1" applyFont="1" applyFill="1" applyBorder="1" applyAlignment="1">
      <alignment vertical="center"/>
    </xf>
    <xf numFmtId="44" fontId="8" fillId="24" borderId="13" xfId="0" applyNumberFormat="1" applyFont="1" applyFill="1" applyBorder="1" applyAlignment="1">
      <alignment vertical="center"/>
    </xf>
    <xf numFmtId="0" fontId="22" fillId="24" borderId="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/>
    </xf>
    <xf numFmtId="0" fontId="22" fillId="11" borderId="14" xfId="0" applyFont="1" applyFill="1" applyBorder="1" applyAlignment="1">
      <alignment vertical="center"/>
    </xf>
    <xf numFmtId="0" fontId="9" fillId="11" borderId="15" xfId="0" applyFont="1" applyFill="1" applyBorder="1" applyAlignment="1">
      <alignment vertical="center"/>
    </xf>
    <xf numFmtId="44" fontId="8" fillId="11" borderId="15" xfId="0" applyNumberFormat="1" applyFont="1" applyFill="1" applyBorder="1" applyAlignment="1">
      <alignment vertical="center"/>
    </xf>
    <xf numFmtId="44" fontId="8" fillId="11" borderId="17" xfId="0" applyNumberFormat="1" applyFont="1" applyFill="1" applyBorder="1" applyAlignment="1">
      <alignment vertical="center"/>
    </xf>
    <xf numFmtId="44" fontId="14" fillId="13" borderId="0" xfId="1" applyFont="1" applyFill="1" applyBorder="1" applyAlignment="1">
      <alignment horizontal="center" vertical="center" wrapText="1"/>
    </xf>
    <xf numFmtId="1" fontId="14" fillId="12" borderId="0" xfId="3" applyNumberFormat="1" applyFont="1" applyFill="1" applyAlignment="1">
      <alignment vertical="center"/>
    </xf>
    <xf numFmtId="0" fontId="14" fillId="12" borderId="0" xfId="3" applyFont="1" applyFill="1" applyAlignment="1">
      <alignment vertical="center"/>
    </xf>
    <xf numFmtId="0" fontId="16" fillId="12" borderId="0" xfId="3" applyFont="1" applyFill="1" applyAlignment="1">
      <alignment horizontal="center" vertical="center"/>
    </xf>
    <xf numFmtId="0" fontId="15" fillId="12" borderId="0" xfId="3" applyFont="1" applyFill="1" applyAlignment="1">
      <alignment vertical="center"/>
    </xf>
    <xf numFmtId="44" fontId="15" fillId="12" borderId="0" xfId="1" applyFont="1" applyFill="1" applyAlignment="1">
      <alignment horizontal="right"/>
    </xf>
    <xf numFmtId="0" fontId="15" fillId="12" borderId="0" xfId="1" applyNumberFormat="1" applyFont="1" applyFill="1" applyAlignment="1">
      <alignment vertical="center"/>
    </xf>
    <xf numFmtId="44" fontId="14" fillId="12" borderId="0" xfId="1" applyFont="1" applyFill="1" applyAlignment="1">
      <alignment vertical="center"/>
    </xf>
    <xf numFmtId="44" fontId="15" fillId="12" borderId="0" xfId="1" applyFont="1" applyFill="1" applyAlignment="1">
      <alignment vertical="center"/>
    </xf>
    <xf numFmtId="44" fontId="15" fillId="12" borderId="0" xfId="1" applyFont="1" applyFill="1" applyAlignment="1">
      <alignment horizontal="right" vertical="center"/>
    </xf>
    <xf numFmtId="44" fontId="14" fillId="13" borderId="0" xfId="1" applyFont="1" applyFill="1" applyBorder="1" applyAlignment="1">
      <alignment horizontal="right" vertical="center" wrapText="1"/>
    </xf>
    <xf numFmtId="44" fontId="8" fillId="0" borderId="13" xfId="1" applyNumberFormat="1" applyFont="1" applyFill="1" applyBorder="1" applyAlignment="1">
      <alignment vertical="center"/>
    </xf>
    <xf numFmtId="0" fontId="7" fillId="8" borderId="14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44" fontId="8" fillId="8" borderId="3" xfId="1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4" fillId="0" borderId="0" xfId="8" applyAlignment="1">
      <alignment vertical="center"/>
    </xf>
    <xf numFmtId="44" fontId="0" fillId="0" borderId="0" xfId="9" applyFont="1" applyFill="1" applyAlignment="1">
      <alignment vertical="center"/>
    </xf>
    <xf numFmtId="0" fontId="15" fillId="0" borderId="0" xfId="8" applyFont="1" applyFill="1" applyBorder="1" applyAlignment="1">
      <alignment vertical="center"/>
    </xf>
    <xf numFmtId="44" fontId="0" fillId="15" borderId="0" xfId="9" applyFont="1" applyFill="1" applyAlignment="1">
      <alignment vertical="center"/>
    </xf>
    <xf numFmtId="44" fontId="0" fillId="0" borderId="0" xfId="9" applyFont="1" applyAlignment="1">
      <alignment vertical="center"/>
    </xf>
    <xf numFmtId="44" fontId="4" fillId="0" borderId="0" xfId="8" applyNumberFormat="1" applyFill="1" applyBorder="1" applyAlignment="1">
      <alignment vertical="center"/>
    </xf>
    <xf numFmtId="0" fontId="4" fillId="0" borderId="0" xfId="8" applyFill="1" applyBorder="1" applyAlignment="1">
      <alignment vertical="center"/>
    </xf>
    <xf numFmtId="0" fontId="3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44" fontId="4" fillId="0" borderId="0" xfId="8" applyNumberFormat="1" applyAlignment="1">
      <alignment vertical="center"/>
    </xf>
    <xf numFmtId="44" fontId="0" fillId="4" borderId="0" xfId="9" applyFont="1" applyFill="1" applyAlignment="1">
      <alignment vertical="center"/>
    </xf>
    <xf numFmtId="44" fontId="0" fillId="0" borderId="22" xfId="9" applyFont="1" applyFill="1" applyBorder="1" applyAlignment="1">
      <alignment vertical="center"/>
    </xf>
    <xf numFmtId="44" fontId="0" fillId="0" borderId="22" xfId="9" applyFont="1" applyBorder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Fill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0" fontId="1" fillId="0" borderId="0" xfId="8" applyFont="1" applyAlignment="1">
      <alignment vertical="center"/>
    </xf>
    <xf numFmtId="44" fontId="0" fillId="0" borderId="0" xfId="9" applyFont="1" applyBorder="1" applyAlignment="1">
      <alignment vertical="center"/>
    </xf>
    <xf numFmtId="44" fontId="7" fillId="0" borderId="0" xfId="1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4" fontId="12" fillId="0" borderId="0" xfId="1" applyFont="1" applyAlignment="1">
      <alignment horizontal="right" vertical="center"/>
    </xf>
    <xf numFmtId="44" fontId="14" fillId="13" borderId="0" xfId="1" applyFont="1" applyFill="1" applyBorder="1" applyAlignment="1">
      <alignment horizontal="center" vertical="center" wrapText="1"/>
    </xf>
    <xf numFmtId="44" fontId="15" fillId="0" borderId="0" xfId="1" applyFont="1" applyFill="1" applyAlignment="1">
      <alignment horizontal="center" vertical="center"/>
    </xf>
    <xf numFmtId="44" fontId="15" fillId="3" borderId="20" xfId="1" applyFont="1" applyFill="1" applyBorder="1" applyAlignment="1">
      <alignment horizontal="center" vertical="center"/>
    </xf>
    <xf numFmtId="44" fontId="15" fillId="0" borderId="0" xfId="1" applyFont="1" applyAlignment="1">
      <alignment horizontal="right" vertical="center"/>
    </xf>
    <xf numFmtId="44" fontId="15" fillId="0" borderId="0" xfId="1" applyFont="1" applyFill="1" applyAlignment="1">
      <alignment horizontal="right" vertical="center"/>
    </xf>
    <xf numFmtId="44" fontId="15" fillId="0" borderId="0" xfId="1" applyFont="1" applyAlignment="1">
      <alignment horizontal="center" vertical="center"/>
    </xf>
    <xf numFmtId="44" fontId="15" fillId="2" borderId="20" xfId="1" applyFont="1" applyFill="1" applyBorder="1" applyAlignment="1">
      <alignment horizontal="center" vertical="center"/>
    </xf>
    <xf numFmtId="44" fontId="14" fillId="12" borderId="0" xfId="1" applyFont="1" applyFill="1" applyAlignment="1">
      <alignment horizontal="center" vertical="center"/>
    </xf>
    <xf numFmtId="44" fontId="12" fillId="0" borderId="0" xfId="1" applyFont="1" applyFill="1" applyAlignment="1">
      <alignment horizontal="center" vertical="center"/>
    </xf>
    <xf numFmtId="44" fontId="15" fillId="0" borderId="21" xfId="1" applyFont="1" applyBorder="1" applyAlignment="1">
      <alignment horizontal="center" vertical="center"/>
    </xf>
    <xf numFmtId="0" fontId="26" fillId="0" borderId="0" xfId="5" applyFont="1" applyAlignment="1">
      <alignment horizontal="left" vertical="center"/>
    </xf>
    <xf numFmtId="0" fontId="26" fillId="0" borderId="0" xfId="5" applyNumberFormat="1" applyFont="1" applyAlignment="1">
      <alignment horizontal="left" vertical="center"/>
    </xf>
    <xf numFmtId="0" fontId="5" fillId="0" borderId="0" xfId="5" applyAlignment="1">
      <alignment horizontal="center" vertical="center"/>
    </xf>
    <xf numFmtId="0" fontId="2" fillId="0" borderId="0" xfId="8" applyFont="1" applyAlignment="1">
      <alignment horizontal="left" vertical="center"/>
    </xf>
    <xf numFmtId="0" fontId="4" fillId="0" borderId="0" xfId="8" applyAlignment="1">
      <alignment horizontal="left" vertical="center"/>
    </xf>
    <xf numFmtId="44" fontId="12" fillId="0" borderId="0" xfId="1" applyFont="1" applyAlignment="1">
      <alignment horizontal="center" vertical="center"/>
    </xf>
  </cellXfs>
  <cellStyles count="10">
    <cellStyle name="Comma" xfId="4" builtinId="3"/>
    <cellStyle name="Comma 2" xfId="7" xr:uid="{CF5482D3-68D8-4096-99A3-E1F533B85D98}"/>
    <cellStyle name="Currency" xfId="1" builtinId="4"/>
    <cellStyle name="Currency 2" xfId="6" xr:uid="{D5E79E15-2A10-4679-BE8D-10C576EF1C8C}"/>
    <cellStyle name="Currency 3" xfId="9" xr:uid="{50304900-8380-45FF-9899-2E2ACF3D6304}"/>
    <cellStyle name="Normal" xfId="0" builtinId="0"/>
    <cellStyle name="Normal 2" xfId="3" xr:uid="{00000000-0005-0000-0000-000003000000}"/>
    <cellStyle name="Normal 3" xfId="5" xr:uid="{EBF53803-21E6-420C-9E7A-447EA72C4188}"/>
    <cellStyle name="Normal 4" xfId="8" xr:uid="{3374D779-80EB-4D5D-8A14-F138BF4FFDF9}"/>
    <cellStyle name="Percent" xfId="2" builtinId="5"/>
  </cellStyles>
  <dxfs count="0"/>
  <tableStyles count="0" defaultTableStyle="TableStyleMedium2" defaultPivotStyle="PivotStyleLight16"/>
  <colors>
    <mruColors>
      <color rgb="FFD1A62D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22ead8cf11c2f2/2021%20Agendas/June%2029%20Budget%204/Budget%20FY2018-19%20(Final)%2080-20%20(revis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19%20Budget\Budget%20FY19%20(Final)%2080-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Motongo/Desktop/Budget%20FY2021-2022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ramirez/Desktop/OLD%202020/2018-19%20Budget/Budget%20FY19%20(3rd%20Revis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Sheet1"/>
      <sheetName val="PAYROLL"/>
      <sheetName val="Sheet10"/>
      <sheetName val="Sheet8"/>
      <sheetName val="Funds"/>
      <sheetName val="Final"/>
      <sheetName val="Sheet7"/>
      <sheetName val="Sheet4"/>
      <sheetName val="Sheet2"/>
      <sheetName val="Sheet3"/>
      <sheetName val="Police"/>
      <sheetName val="Sheet6"/>
      <sheetName val="Sheet5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Account</v>
          </cell>
          <cell r="B1" t="str">
            <v>Name</v>
          </cell>
          <cell r="C1" t="str">
            <v>Ending Balance</v>
          </cell>
        </row>
        <row r="2">
          <cell r="A2" t="str">
            <v>101-40000</v>
          </cell>
          <cell r="B2" t="str">
            <v>Motor Vehicle Registration Tax</v>
          </cell>
          <cell r="C2">
            <v>-11086.9</v>
          </cell>
        </row>
        <row r="3">
          <cell r="A3" t="str">
            <v>101-40100</v>
          </cell>
          <cell r="B3" t="str">
            <v>Franchise Fees</v>
          </cell>
          <cell r="C3">
            <v>-114893.54</v>
          </cell>
        </row>
        <row r="4">
          <cell r="A4" t="str">
            <v>101-40101</v>
          </cell>
          <cell r="B4" t="str">
            <v>Small Cities Assistance</v>
          </cell>
          <cell r="C4">
            <v>-131703.95000000001</v>
          </cell>
        </row>
        <row r="5">
          <cell r="A5" t="str">
            <v>101-40102</v>
          </cell>
          <cell r="B5" t="str">
            <v>FIREWORK FEES</v>
          </cell>
          <cell r="C5">
            <v>-20645.259999999998</v>
          </cell>
        </row>
        <row r="6">
          <cell r="A6" t="str">
            <v>101-41500</v>
          </cell>
          <cell r="B6" t="str">
            <v>GRT - Local</v>
          </cell>
          <cell r="C6">
            <v>-621299.94999999995</v>
          </cell>
        </row>
        <row r="7">
          <cell r="A7" t="str">
            <v>101-41510</v>
          </cell>
          <cell r="B7" t="str">
            <v>GRT INFRASTRUCTURE</v>
          </cell>
          <cell r="C7">
            <v>-59664.27</v>
          </cell>
        </row>
        <row r="8">
          <cell r="A8" t="str">
            <v>101-41520</v>
          </cell>
          <cell r="B8" t="str">
            <v>GRT STATE</v>
          </cell>
          <cell r="C8">
            <v>-609720.68999999994</v>
          </cell>
        </row>
        <row r="9">
          <cell r="A9" t="str">
            <v>101-41530</v>
          </cell>
          <cell r="B9" t="str">
            <v>GRT INTERSTATE TELECOM</v>
          </cell>
          <cell r="C9">
            <v>-613.32000000000005</v>
          </cell>
        </row>
        <row r="10">
          <cell r="A10" t="str">
            <v>101-41540</v>
          </cell>
          <cell r="B10" t="str">
            <v>GRT MUNI EQUIV DIST</v>
          </cell>
          <cell r="C10">
            <v>-4978.87</v>
          </cell>
        </row>
        <row r="11">
          <cell r="A11" t="str">
            <v>101-41600</v>
          </cell>
          <cell r="B11" t="str">
            <v>IRB CN Wire / VCST PILOT</v>
          </cell>
          <cell r="C11">
            <v>-44025.599999999999</v>
          </cell>
        </row>
        <row r="12">
          <cell r="A12" t="str">
            <v>101-41800</v>
          </cell>
          <cell r="B12" t="str">
            <v>Animal License Permits</v>
          </cell>
          <cell r="C12">
            <v>-2476.46</v>
          </cell>
        </row>
        <row r="13">
          <cell r="A13" t="str">
            <v>101-42000</v>
          </cell>
          <cell r="B13" t="str">
            <v>Liquor License</v>
          </cell>
          <cell r="C13">
            <v>-250</v>
          </cell>
        </row>
        <row r="14">
          <cell r="A14" t="str">
            <v>101-42200</v>
          </cell>
          <cell r="B14" t="str">
            <v>Business Application Permit</v>
          </cell>
          <cell r="C14">
            <v>-6455</v>
          </cell>
        </row>
        <row r="15">
          <cell r="A15" t="str">
            <v>101-43300</v>
          </cell>
          <cell r="B15" t="str">
            <v>Printing &amp; Copying Fees</v>
          </cell>
          <cell r="C15">
            <v>-618.75</v>
          </cell>
        </row>
        <row r="16">
          <cell r="A16" t="str">
            <v>101-43302</v>
          </cell>
          <cell r="B16" t="str">
            <v>MVD FEES</v>
          </cell>
          <cell r="C16">
            <v>-141369.34</v>
          </cell>
        </row>
        <row r="17">
          <cell r="A17" t="str">
            <v>101-43303</v>
          </cell>
          <cell r="B17" t="str">
            <v>Motor Vehicle Agent Allotment</v>
          </cell>
          <cell r="C17">
            <v>-124571.5</v>
          </cell>
        </row>
        <row r="18">
          <cell r="A18" t="str">
            <v>101-48501</v>
          </cell>
          <cell r="B18" t="str">
            <v>FACILITIES RENTAL FEE</v>
          </cell>
          <cell r="C18">
            <v>-180</v>
          </cell>
        </row>
        <row r="19">
          <cell r="A19" t="str">
            <v>101-48901</v>
          </cell>
          <cell r="B19" t="str">
            <v>RENT INCOME</v>
          </cell>
          <cell r="C19">
            <v>-95256</v>
          </cell>
        </row>
        <row r="20">
          <cell r="A20" t="str">
            <v>101-51000</v>
          </cell>
          <cell r="B20" t="str">
            <v>TRANSFER IN</v>
          </cell>
          <cell r="C20">
            <v>-24405</v>
          </cell>
        </row>
        <row r="21">
          <cell r="A21" t="str">
            <v>101-64700</v>
          </cell>
          <cell r="B21" t="str">
            <v>MISCELLANEOUS REVENUE</v>
          </cell>
          <cell r="C21">
            <v>-5770.77</v>
          </cell>
        </row>
        <row r="22">
          <cell r="A22" t="str">
            <v>101-01-50100</v>
          </cell>
          <cell r="B22" t="str">
            <v>Elected Officials</v>
          </cell>
          <cell r="C22">
            <v>14400</v>
          </cell>
        </row>
        <row r="23">
          <cell r="A23" t="str">
            <v>101-01-50300</v>
          </cell>
          <cell r="B23" t="str">
            <v>FICA-Medicare</v>
          </cell>
          <cell r="C23">
            <v>1101.5999999999999</v>
          </cell>
        </row>
        <row r="24">
          <cell r="A24" t="str">
            <v>101-01-50360</v>
          </cell>
          <cell r="B24" t="str">
            <v>Civil Liability Insurance</v>
          </cell>
          <cell r="C24">
            <v>45151.25</v>
          </cell>
        </row>
        <row r="25">
          <cell r="A25" t="str">
            <v>101-01-50370</v>
          </cell>
          <cell r="B25" t="str">
            <v>Workers Compensation Ins.</v>
          </cell>
          <cell r="C25">
            <v>60873</v>
          </cell>
        </row>
        <row r="26">
          <cell r="A26" t="str">
            <v>101-01-50380</v>
          </cell>
          <cell r="B26" t="str">
            <v>Property Insurance</v>
          </cell>
          <cell r="C26">
            <v>8914</v>
          </cell>
        </row>
        <row r="27">
          <cell r="A27" t="str">
            <v>101-01-50400</v>
          </cell>
          <cell r="B27" t="str">
            <v>Auto Liability Insurance</v>
          </cell>
          <cell r="C27">
            <v>13785.77</v>
          </cell>
        </row>
        <row r="28">
          <cell r="A28" t="str">
            <v>101-01-60102</v>
          </cell>
          <cell r="B28" t="str">
            <v>Conf. Registrations</v>
          </cell>
          <cell r="C28">
            <v>370</v>
          </cell>
        </row>
        <row r="29">
          <cell r="A29" t="str">
            <v>101-01-60110</v>
          </cell>
          <cell r="B29" t="str">
            <v>Per Diem &amp; Travel</v>
          </cell>
          <cell r="C29">
            <v>570.86</v>
          </cell>
        </row>
        <row r="30">
          <cell r="A30" t="str">
            <v>101-01-62400</v>
          </cell>
          <cell r="B30" t="str">
            <v>Professional Services</v>
          </cell>
          <cell r="C30">
            <v>57491.23</v>
          </cell>
        </row>
        <row r="31">
          <cell r="A31" t="str">
            <v>101-01-63100</v>
          </cell>
          <cell r="B31" t="str">
            <v>Supplies</v>
          </cell>
          <cell r="C31">
            <v>300</v>
          </cell>
        </row>
        <row r="32">
          <cell r="A32" t="str">
            <v>101-01-63700</v>
          </cell>
          <cell r="B32" t="str">
            <v>Water</v>
          </cell>
          <cell r="C32">
            <v>1201.2</v>
          </cell>
        </row>
        <row r="33">
          <cell r="A33" t="str">
            <v>101-01-71300</v>
          </cell>
          <cell r="B33" t="str">
            <v>Subscriptions/Dues</v>
          </cell>
          <cell r="C33">
            <v>2425</v>
          </cell>
        </row>
        <row r="34">
          <cell r="A34" t="str">
            <v>101-01-71500</v>
          </cell>
          <cell r="B34" t="str">
            <v>Fuel</v>
          </cell>
          <cell r="C34">
            <v>10000</v>
          </cell>
        </row>
        <row r="35">
          <cell r="A35" t="str">
            <v>101-01-71600</v>
          </cell>
          <cell r="B35" t="str">
            <v>Telephone</v>
          </cell>
          <cell r="C35">
            <v>5200.6099999999997</v>
          </cell>
        </row>
        <row r="36">
          <cell r="A36" t="str">
            <v>101-01-71700</v>
          </cell>
          <cell r="B36" t="str">
            <v>Utilities</v>
          </cell>
          <cell r="C36">
            <v>24594.94</v>
          </cell>
        </row>
        <row r="37">
          <cell r="A37" t="str">
            <v>101-01-91200</v>
          </cell>
          <cell r="B37" t="str">
            <v>Cap Equip &amp; Mach</v>
          </cell>
          <cell r="C37">
            <v>7192.84</v>
          </cell>
        </row>
        <row r="38">
          <cell r="A38" t="str">
            <v>101-02-50100</v>
          </cell>
          <cell r="B38" t="str">
            <v>Elected Officials</v>
          </cell>
          <cell r="C38">
            <v>17925</v>
          </cell>
        </row>
        <row r="39">
          <cell r="A39" t="str">
            <v>101-02-50300</v>
          </cell>
          <cell r="B39" t="str">
            <v>FICA-Medicare</v>
          </cell>
          <cell r="C39">
            <v>1371.53</v>
          </cell>
        </row>
        <row r="40">
          <cell r="A40" t="str">
            <v>101-02-60102</v>
          </cell>
          <cell r="B40" t="str">
            <v>Conf. Registrations</v>
          </cell>
          <cell r="C40">
            <v>3455</v>
          </cell>
        </row>
        <row r="41">
          <cell r="A41" t="str">
            <v>101-02-60110</v>
          </cell>
          <cell r="B41" t="str">
            <v>Per Diem &amp; Travel</v>
          </cell>
          <cell r="C41">
            <v>4197.47</v>
          </cell>
        </row>
        <row r="42">
          <cell r="A42" t="str">
            <v>101-02-62400</v>
          </cell>
          <cell r="B42" t="str">
            <v>Professional Services</v>
          </cell>
          <cell r="C42">
            <v>2500</v>
          </cell>
        </row>
        <row r="43">
          <cell r="A43" t="str">
            <v>101-02-63100</v>
          </cell>
          <cell r="B43" t="str">
            <v>Supplies</v>
          </cell>
          <cell r="C43">
            <v>104.9</v>
          </cell>
        </row>
        <row r="44">
          <cell r="A44" t="str">
            <v>101-02-71300</v>
          </cell>
          <cell r="B44" t="str">
            <v>Subscriptions/Dues</v>
          </cell>
          <cell r="C44">
            <v>35</v>
          </cell>
        </row>
        <row r="45">
          <cell r="A45" t="str">
            <v>101-03-50200</v>
          </cell>
          <cell r="B45" t="str">
            <v>Full Time Exempt</v>
          </cell>
          <cell r="C45">
            <v>47500</v>
          </cell>
        </row>
        <row r="46">
          <cell r="A46" t="str">
            <v>101-03-50201</v>
          </cell>
          <cell r="B46" t="str">
            <v>Full Time Classified</v>
          </cell>
          <cell r="C46">
            <v>65390</v>
          </cell>
        </row>
        <row r="47">
          <cell r="A47" t="str">
            <v>101-03-50300</v>
          </cell>
          <cell r="B47" t="str">
            <v>FICA-Medicare</v>
          </cell>
          <cell r="C47">
            <v>1649.57</v>
          </cell>
        </row>
        <row r="48">
          <cell r="A48" t="str">
            <v>101-03-50310</v>
          </cell>
          <cell r="B48" t="str">
            <v>State Unemployment</v>
          </cell>
          <cell r="C48">
            <v>1388.07</v>
          </cell>
        </row>
        <row r="49">
          <cell r="A49" t="str">
            <v>101-03-50320</v>
          </cell>
          <cell r="B49" t="str">
            <v>Retirement Contributions</v>
          </cell>
          <cell r="C49">
            <v>8170.91</v>
          </cell>
        </row>
        <row r="50">
          <cell r="A50" t="str">
            <v>101-03-50335</v>
          </cell>
          <cell r="B50" t="str">
            <v>Workers Comp Fee</v>
          </cell>
          <cell r="C50">
            <v>36.799999999999997</v>
          </cell>
        </row>
        <row r="51">
          <cell r="A51" t="str">
            <v>101-03-50340</v>
          </cell>
          <cell r="B51" t="str">
            <v>Health Care</v>
          </cell>
          <cell r="C51">
            <v>16642.400000000001</v>
          </cell>
        </row>
        <row r="52">
          <cell r="A52" t="str">
            <v>101-03-50500</v>
          </cell>
          <cell r="B52" t="str">
            <v>Life Insurance</v>
          </cell>
          <cell r="C52">
            <v>534.82000000000005</v>
          </cell>
        </row>
        <row r="53">
          <cell r="A53" t="str">
            <v>101-03-60102</v>
          </cell>
          <cell r="B53" t="str">
            <v>Conf. Registrations</v>
          </cell>
          <cell r="C53">
            <v>662.03</v>
          </cell>
        </row>
        <row r="54">
          <cell r="A54" t="str">
            <v>101-03-60110</v>
          </cell>
          <cell r="B54" t="str">
            <v>Per Diem &amp; Travel</v>
          </cell>
          <cell r="C54">
            <v>1525.18</v>
          </cell>
        </row>
        <row r="55">
          <cell r="A55" t="str">
            <v>101-03-61110</v>
          </cell>
          <cell r="B55" t="str">
            <v>Office Equipment</v>
          </cell>
          <cell r="C55">
            <v>1239.8</v>
          </cell>
        </row>
        <row r="56">
          <cell r="A56" t="str">
            <v>101-03-63000</v>
          </cell>
          <cell r="B56" t="str">
            <v>Other Contractual Svcs - Tyler Maint</v>
          </cell>
          <cell r="C56">
            <v>22000</v>
          </cell>
        </row>
        <row r="57">
          <cell r="A57" t="str">
            <v>101-03-63100</v>
          </cell>
          <cell r="B57" t="str">
            <v>Supplies</v>
          </cell>
          <cell r="C57">
            <v>1344.25</v>
          </cell>
        </row>
        <row r="58">
          <cell r="A58" t="str">
            <v>101-03-70600</v>
          </cell>
          <cell r="B58" t="str">
            <v>Election Expenses - City Clerk</v>
          </cell>
          <cell r="C58">
            <v>2209</v>
          </cell>
        </row>
        <row r="59">
          <cell r="A59" t="str">
            <v>101-03-70800</v>
          </cell>
          <cell r="B59" t="str">
            <v>Postage &amp; Mail Services</v>
          </cell>
          <cell r="C59">
            <v>2739.65</v>
          </cell>
        </row>
        <row r="60">
          <cell r="A60" t="str">
            <v>101-03-70900</v>
          </cell>
          <cell r="B60" t="str">
            <v>Printing/Publishing/Advertising</v>
          </cell>
          <cell r="C60">
            <v>545.52</v>
          </cell>
        </row>
        <row r="61">
          <cell r="A61" t="str">
            <v>101-03-71200</v>
          </cell>
          <cell r="B61" t="str">
            <v>Rent of Equipmen Copier</v>
          </cell>
          <cell r="C61">
            <v>4393.97</v>
          </cell>
        </row>
        <row r="62">
          <cell r="A62" t="str">
            <v>101-03-71300</v>
          </cell>
          <cell r="B62" t="str">
            <v>Subscriptions/Dues</v>
          </cell>
          <cell r="C62">
            <v>110</v>
          </cell>
        </row>
        <row r="63">
          <cell r="A63" t="str">
            <v>101-03-71600</v>
          </cell>
          <cell r="B63" t="str">
            <v>Telephone</v>
          </cell>
          <cell r="C63">
            <v>4099.72</v>
          </cell>
        </row>
        <row r="64">
          <cell r="A64" t="str">
            <v>101-03-72000</v>
          </cell>
          <cell r="B64" t="str">
            <v>Bank Charge Fees</v>
          </cell>
          <cell r="C64">
            <v>319.55</v>
          </cell>
        </row>
        <row r="65">
          <cell r="A65" t="str">
            <v>101-04-50100</v>
          </cell>
          <cell r="B65" t="str">
            <v>Elected Officials</v>
          </cell>
          <cell r="C65">
            <v>9600</v>
          </cell>
        </row>
        <row r="66">
          <cell r="A66" t="str">
            <v>101-04-50201</v>
          </cell>
          <cell r="B66" t="str">
            <v>Full Time Classified</v>
          </cell>
          <cell r="C66">
            <v>30611.64</v>
          </cell>
        </row>
        <row r="67">
          <cell r="A67" t="str">
            <v>101-04-50202</v>
          </cell>
          <cell r="B67" t="str">
            <v>Part Time Classified</v>
          </cell>
          <cell r="C67">
            <v>18950.669999999998</v>
          </cell>
        </row>
        <row r="68">
          <cell r="A68" t="str">
            <v>101-04-50300</v>
          </cell>
          <cell r="B68" t="str">
            <v>FICA-Medicare</v>
          </cell>
          <cell r="C68">
            <v>2004.18</v>
          </cell>
        </row>
        <row r="69">
          <cell r="A69" t="str">
            <v>101-04-50310</v>
          </cell>
          <cell r="B69" t="str">
            <v>State Unemployment</v>
          </cell>
          <cell r="C69">
            <v>643.04999999999995</v>
          </cell>
        </row>
        <row r="70">
          <cell r="A70" t="str">
            <v>101-04-50320</v>
          </cell>
          <cell r="B70" t="str">
            <v>Retirement Contributions</v>
          </cell>
          <cell r="C70">
            <v>3008.34</v>
          </cell>
        </row>
        <row r="71">
          <cell r="A71" t="str">
            <v>101-04-50335</v>
          </cell>
          <cell r="B71" t="str">
            <v>Workers Comp Fee</v>
          </cell>
          <cell r="C71">
            <v>23</v>
          </cell>
        </row>
        <row r="72">
          <cell r="A72" t="str">
            <v>101-04-50340</v>
          </cell>
          <cell r="B72" t="str">
            <v>Health Care</v>
          </cell>
          <cell r="C72">
            <v>3954.24</v>
          </cell>
        </row>
        <row r="73">
          <cell r="A73" t="str">
            <v>101-04-50500</v>
          </cell>
          <cell r="B73" t="str">
            <v>Life Insurance</v>
          </cell>
          <cell r="C73">
            <v>101.94</v>
          </cell>
        </row>
        <row r="74">
          <cell r="A74" t="str">
            <v>101-04-60100</v>
          </cell>
          <cell r="B74" t="str">
            <v>Mileage Reimbursement</v>
          </cell>
          <cell r="C74">
            <v>268.14</v>
          </cell>
        </row>
        <row r="75">
          <cell r="A75" t="str">
            <v>101-04-60102</v>
          </cell>
          <cell r="B75" t="str">
            <v>Conf. Registrations</v>
          </cell>
          <cell r="C75">
            <v>50</v>
          </cell>
        </row>
        <row r="76">
          <cell r="A76" t="str">
            <v>101-04-60110</v>
          </cell>
          <cell r="B76" t="str">
            <v>Per Diem &amp; Travel</v>
          </cell>
          <cell r="C76">
            <v>2169.69</v>
          </cell>
        </row>
        <row r="77">
          <cell r="A77" t="str">
            <v>101-04-62500</v>
          </cell>
          <cell r="B77" t="str">
            <v>Other Contr Svcs</v>
          </cell>
          <cell r="C77">
            <v>3643.61</v>
          </cell>
        </row>
        <row r="78">
          <cell r="A78" t="str">
            <v>101-04-63100</v>
          </cell>
          <cell r="B78" t="str">
            <v>Supplies</v>
          </cell>
          <cell r="C78">
            <v>1209.43</v>
          </cell>
        </row>
        <row r="79">
          <cell r="A79" t="str">
            <v>101-04-63700</v>
          </cell>
          <cell r="B79" t="str">
            <v>Water</v>
          </cell>
          <cell r="C79">
            <v>360</v>
          </cell>
        </row>
        <row r="80">
          <cell r="A80" t="str">
            <v>101-04-70800</v>
          </cell>
          <cell r="B80" t="str">
            <v>Postage &amp; Mail Services</v>
          </cell>
          <cell r="C80">
            <v>400</v>
          </cell>
        </row>
        <row r="81">
          <cell r="A81" t="str">
            <v>101-04-70900</v>
          </cell>
          <cell r="B81" t="str">
            <v>Printing/Publishing/Advertising</v>
          </cell>
          <cell r="C81">
            <v>69</v>
          </cell>
        </row>
        <row r="82">
          <cell r="A82" t="str">
            <v>101-04-71600</v>
          </cell>
          <cell r="B82" t="str">
            <v>Telephone</v>
          </cell>
          <cell r="C82">
            <v>420</v>
          </cell>
        </row>
        <row r="83">
          <cell r="A83" t="str">
            <v>101-04-80000</v>
          </cell>
          <cell r="B83" t="str">
            <v>Customer Refund</v>
          </cell>
          <cell r="C83">
            <v>68</v>
          </cell>
        </row>
        <row r="84">
          <cell r="A84" t="str">
            <v>101-05-50200</v>
          </cell>
          <cell r="B84" t="str">
            <v>Full Time Exempt</v>
          </cell>
          <cell r="C84">
            <v>47569.64</v>
          </cell>
        </row>
        <row r="85">
          <cell r="A85" t="str">
            <v>101-05-50201</v>
          </cell>
          <cell r="B85" t="str">
            <v>Full Time Classified</v>
          </cell>
          <cell r="C85">
            <v>366444.73</v>
          </cell>
        </row>
        <row r="86">
          <cell r="A86" t="str">
            <v>101-05-50230</v>
          </cell>
          <cell r="B86" t="str">
            <v>Overtime FT Class Police</v>
          </cell>
          <cell r="C86">
            <v>25825.63</v>
          </cell>
        </row>
        <row r="87">
          <cell r="A87" t="str">
            <v>101-05-50300</v>
          </cell>
          <cell r="B87" t="str">
            <v>FICA-Medicare</v>
          </cell>
          <cell r="C87">
            <v>6004.31</v>
          </cell>
        </row>
        <row r="88">
          <cell r="A88" t="str">
            <v>101-05-50310</v>
          </cell>
          <cell r="B88" t="str">
            <v>State Unemployment</v>
          </cell>
          <cell r="C88">
            <v>4914.62</v>
          </cell>
        </row>
        <row r="89">
          <cell r="A89" t="str">
            <v>101-05-50320</v>
          </cell>
          <cell r="B89" t="str">
            <v>Retirement Contributions</v>
          </cell>
          <cell r="C89">
            <v>38103.839999999997</v>
          </cell>
        </row>
        <row r="90">
          <cell r="A90" t="str">
            <v>101-05-50335</v>
          </cell>
          <cell r="B90" t="str">
            <v>Workers Comp Fee</v>
          </cell>
          <cell r="C90">
            <v>97.29</v>
          </cell>
        </row>
        <row r="91">
          <cell r="A91" t="str">
            <v>101-05-50340</v>
          </cell>
          <cell r="B91" t="str">
            <v>Health Care</v>
          </cell>
          <cell r="C91">
            <v>87869.38</v>
          </cell>
        </row>
        <row r="92">
          <cell r="A92" t="str">
            <v>101-05-50500</v>
          </cell>
          <cell r="B92" t="str">
            <v>Life Insurance</v>
          </cell>
          <cell r="C92">
            <v>1882.73</v>
          </cell>
        </row>
        <row r="93">
          <cell r="A93" t="str">
            <v>101-05-60110</v>
          </cell>
          <cell r="B93" t="str">
            <v>Per Diem &amp; Travel</v>
          </cell>
          <cell r="C93">
            <v>336.19</v>
          </cell>
        </row>
        <row r="94">
          <cell r="A94" t="str">
            <v>101-05-61110</v>
          </cell>
          <cell r="B94" t="str">
            <v>Maintenance Vehicle</v>
          </cell>
          <cell r="C94">
            <v>8.61</v>
          </cell>
        </row>
        <row r="95">
          <cell r="A95" t="str">
            <v>101-05-62600</v>
          </cell>
          <cell r="B95" t="str">
            <v>Medical/Psych Tests</v>
          </cell>
          <cell r="C95">
            <v>748.56</v>
          </cell>
        </row>
        <row r="96">
          <cell r="A96" t="str">
            <v>101-05-63100</v>
          </cell>
          <cell r="B96" t="str">
            <v>Supplies</v>
          </cell>
          <cell r="C96">
            <v>1677.07</v>
          </cell>
        </row>
        <row r="97">
          <cell r="A97" t="str">
            <v>101-05-70200</v>
          </cell>
          <cell r="B97" t="str">
            <v>Dispatch Services/MVRDA</v>
          </cell>
          <cell r="C97">
            <v>64132.34</v>
          </cell>
        </row>
        <row r="98">
          <cell r="A98" t="str">
            <v>101-05-70300</v>
          </cell>
          <cell r="B98" t="str">
            <v>Care of Prisioners</v>
          </cell>
          <cell r="C98">
            <v>14441.69</v>
          </cell>
        </row>
        <row r="99">
          <cell r="A99" t="str">
            <v>101-05-70800</v>
          </cell>
          <cell r="B99" t="str">
            <v>Postage &amp; Mail Services</v>
          </cell>
          <cell r="C99">
            <v>300</v>
          </cell>
        </row>
        <row r="100">
          <cell r="A100" t="str">
            <v>101-05-70900</v>
          </cell>
          <cell r="B100" t="str">
            <v>Printing/Publishing/Advertising</v>
          </cell>
          <cell r="C100">
            <v>24.55</v>
          </cell>
        </row>
        <row r="101">
          <cell r="A101" t="str">
            <v>101-05-71200</v>
          </cell>
          <cell r="B101" t="str">
            <v>Rent of Equipment/Machinery</v>
          </cell>
          <cell r="C101">
            <v>1500</v>
          </cell>
        </row>
        <row r="102">
          <cell r="A102" t="str">
            <v>101-05-71300</v>
          </cell>
          <cell r="B102" t="str">
            <v>Subscriptions/Dues</v>
          </cell>
          <cell r="C102">
            <v>75</v>
          </cell>
        </row>
        <row r="103">
          <cell r="A103" t="str">
            <v>101-05-71500</v>
          </cell>
          <cell r="B103" t="str">
            <v>Fuel</v>
          </cell>
          <cell r="C103">
            <v>26296.21</v>
          </cell>
        </row>
        <row r="104">
          <cell r="A104" t="str">
            <v>101-05-71600</v>
          </cell>
          <cell r="B104" t="str">
            <v>Telephone</v>
          </cell>
          <cell r="C104">
            <v>8000</v>
          </cell>
        </row>
        <row r="105">
          <cell r="A105" t="str">
            <v>101-07-61100</v>
          </cell>
          <cell r="B105" t="str">
            <v>Maintenance Building/Structure</v>
          </cell>
          <cell r="C105">
            <v>9262.23</v>
          </cell>
        </row>
        <row r="106">
          <cell r="A106" t="str">
            <v>101-07-63100</v>
          </cell>
          <cell r="B106" t="str">
            <v>Supplies</v>
          </cell>
          <cell r="C106">
            <v>1971.67</v>
          </cell>
        </row>
        <row r="107">
          <cell r="A107" t="str">
            <v>101-07-71700</v>
          </cell>
          <cell r="B107" t="str">
            <v>Utilities</v>
          </cell>
          <cell r="C107">
            <v>12997.75</v>
          </cell>
        </row>
        <row r="108">
          <cell r="A108" t="str">
            <v>101-08-50201</v>
          </cell>
          <cell r="B108" t="str">
            <v>Full Time Classified</v>
          </cell>
          <cell r="C108">
            <v>116880.85</v>
          </cell>
        </row>
        <row r="109">
          <cell r="A109" t="str">
            <v>101-08-50230</v>
          </cell>
          <cell r="B109" t="str">
            <v>Overtime Full Time Classified</v>
          </cell>
          <cell r="C109">
            <v>9884.68</v>
          </cell>
        </row>
        <row r="110">
          <cell r="A110" t="str">
            <v>101-08-50300</v>
          </cell>
          <cell r="B110" t="str">
            <v>FICA-Medicare</v>
          </cell>
          <cell r="C110">
            <v>1886.15</v>
          </cell>
        </row>
        <row r="111">
          <cell r="A111" t="str">
            <v>101-08-50310</v>
          </cell>
          <cell r="B111" t="str">
            <v>State Unemployment</v>
          </cell>
          <cell r="C111">
            <v>1544.69</v>
          </cell>
        </row>
        <row r="112">
          <cell r="A112" t="str">
            <v>101-08-50320</v>
          </cell>
          <cell r="B112" t="str">
            <v>Retirement Contributions</v>
          </cell>
          <cell r="C112">
            <v>8370.68</v>
          </cell>
        </row>
        <row r="113">
          <cell r="A113" t="str">
            <v>101-08-50335</v>
          </cell>
          <cell r="B113" t="str">
            <v>Workers Comp Fee</v>
          </cell>
          <cell r="C113">
            <v>36.43</v>
          </cell>
        </row>
        <row r="114">
          <cell r="A114" t="str">
            <v>101-08-50340</v>
          </cell>
          <cell r="B114" t="str">
            <v>Health Care</v>
          </cell>
          <cell r="C114">
            <v>6551.76</v>
          </cell>
        </row>
        <row r="115">
          <cell r="A115" t="str">
            <v>101-08-50500</v>
          </cell>
          <cell r="B115" t="str">
            <v>Life Insurance</v>
          </cell>
          <cell r="C115">
            <v>322.83</v>
          </cell>
        </row>
        <row r="116">
          <cell r="A116" t="str">
            <v>101-08-60102</v>
          </cell>
          <cell r="B116" t="str">
            <v>Conf. Registrations</v>
          </cell>
          <cell r="C116">
            <v>1385</v>
          </cell>
        </row>
        <row r="117">
          <cell r="A117" t="str">
            <v>101-08-60110</v>
          </cell>
          <cell r="B117" t="str">
            <v>Per Diem &amp; Travel</v>
          </cell>
          <cell r="C117">
            <v>271.58</v>
          </cell>
        </row>
        <row r="118">
          <cell r="A118" t="str">
            <v>101-08-61110</v>
          </cell>
          <cell r="B118" t="str">
            <v>Maintenance Vehicle</v>
          </cell>
          <cell r="C118">
            <v>6073.59</v>
          </cell>
        </row>
        <row r="119">
          <cell r="A119" t="str">
            <v>101-08-61300</v>
          </cell>
          <cell r="B119" t="str">
            <v>Maintenance Grounds/Roadways</v>
          </cell>
          <cell r="C119">
            <v>26049.81</v>
          </cell>
        </row>
        <row r="120">
          <cell r="A120" t="str">
            <v>101-08-63100</v>
          </cell>
          <cell r="B120" t="str">
            <v>Supplies</v>
          </cell>
          <cell r="C120">
            <v>4987.29</v>
          </cell>
        </row>
        <row r="121">
          <cell r="A121" t="str">
            <v>101-08-63300</v>
          </cell>
          <cell r="B121" t="str">
            <v>Safety Equipment</v>
          </cell>
          <cell r="C121">
            <v>497.97</v>
          </cell>
        </row>
        <row r="122">
          <cell r="A122" t="str">
            <v>101-08-63400</v>
          </cell>
          <cell r="B122" t="str">
            <v>Uniforms</v>
          </cell>
          <cell r="C122">
            <v>1512.15</v>
          </cell>
        </row>
        <row r="123">
          <cell r="A123" t="str">
            <v>101-08-71701</v>
          </cell>
          <cell r="B123" t="str">
            <v>Utilities (Street Lights)</v>
          </cell>
          <cell r="C123">
            <v>45784.39</v>
          </cell>
        </row>
        <row r="124">
          <cell r="A124" t="str">
            <v>101-08-91100</v>
          </cell>
          <cell r="B124" t="str">
            <v>Equipment/Machinery</v>
          </cell>
          <cell r="C124">
            <v>5101.84</v>
          </cell>
        </row>
        <row r="125">
          <cell r="A125" t="str">
            <v>101-08-91200</v>
          </cell>
          <cell r="B125" t="str">
            <v>Cap Equipment</v>
          </cell>
          <cell r="C125">
            <v>4997.92</v>
          </cell>
        </row>
        <row r="126">
          <cell r="A126" t="str">
            <v>101-08-91400</v>
          </cell>
          <cell r="B126" t="str">
            <v>Community Assistance Expense</v>
          </cell>
          <cell r="C126">
            <v>299.8</v>
          </cell>
        </row>
        <row r="127">
          <cell r="A127" t="str">
            <v>101-09-50201</v>
          </cell>
          <cell r="B127" t="str">
            <v>Full Time Classified</v>
          </cell>
          <cell r="C127">
            <v>27040</v>
          </cell>
        </row>
        <row r="128">
          <cell r="A128" t="str">
            <v>101-09-50300</v>
          </cell>
          <cell r="B128" t="str">
            <v>FICA-Medicare</v>
          </cell>
          <cell r="C128">
            <v>382.83</v>
          </cell>
        </row>
        <row r="129">
          <cell r="A129" t="str">
            <v>101-09-50310</v>
          </cell>
          <cell r="B129" t="str">
            <v>State Unemployment</v>
          </cell>
          <cell r="C129">
            <v>350.17</v>
          </cell>
        </row>
        <row r="130">
          <cell r="A130" t="str">
            <v>101-09-50320</v>
          </cell>
          <cell r="B130" t="str">
            <v>Retirement Contributions</v>
          </cell>
          <cell r="C130">
            <v>1922.67</v>
          </cell>
        </row>
        <row r="131">
          <cell r="A131" t="str">
            <v>101-09-50335</v>
          </cell>
          <cell r="B131" t="str">
            <v>Workers Comp Fee</v>
          </cell>
          <cell r="C131">
            <v>8.66</v>
          </cell>
        </row>
        <row r="132">
          <cell r="A132" t="str">
            <v>101-09-50500</v>
          </cell>
          <cell r="B132" t="str">
            <v>Life Insurance</v>
          </cell>
          <cell r="C132">
            <v>230.38</v>
          </cell>
        </row>
        <row r="133">
          <cell r="A133" t="str">
            <v>101-09-60102</v>
          </cell>
          <cell r="B133" t="str">
            <v>Conf. Registrations</v>
          </cell>
          <cell r="C133">
            <v>555</v>
          </cell>
        </row>
        <row r="134">
          <cell r="A134" t="str">
            <v>101-09-60110</v>
          </cell>
          <cell r="B134" t="str">
            <v>Per Diem &amp; Travel</v>
          </cell>
          <cell r="C134">
            <v>658.78</v>
          </cell>
        </row>
        <row r="135">
          <cell r="A135" t="str">
            <v>101-09-63100</v>
          </cell>
          <cell r="B135" t="str">
            <v>Supplies</v>
          </cell>
          <cell r="C135">
            <v>1269.48</v>
          </cell>
        </row>
        <row r="136">
          <cell r="A136" t="str">
            <v>101-09-63400</v>
          </cell>
          <cell r="B136" t="str">
            <v>Uniforms</v>
          </cell>
          <cell r="C136">
            <v>200</v>
          </cell>
        </row>
        <row r="137">
          <cell r="A137" t="str">
            <v>101-10-50201</v>
          </cell>
          <cell r="B137" t="str">
            <v>Full Time Classified</v>
          </cell>
          <cell r="C137">
            <v>56102.66</v>
          </cell>
        </row>
        <row r="138">
          <cell r="A138" t="str">
            <v>101-10-50202</v>
          </cell>
          <cell r="B138" t="str">
            <v>Part Time Classified</v>
          </cell>
          <cell r="C138">
            <v>12564.03</v>
          </cell>
        </row>
        <row r="139">
          <cell r="A139" t="str">
            <v>101-10-50300</v>
          </cell>
          <cell r="B139" t="str">
            <v>FICA-MEDICARE</v>
          </cell>
          <cell r="C139">
            <v>1176.8900000000001</v>
          </cell>
        </row>
        <row r="140">
          <cell r="A140" t="str">
            <v>101-10-50310</v>
          </cell>
          <cell r="B140" t="str">
            <v>State Unemployment</v>
          </cell>
          <cell r="C140">
            <v>862.94</v>
          </cell>
        </row>
        <row r="141">
          <cell r="A141" t="str">
            <v>101-10-50320</v>
          </cell>
          <cell r="B141" t="str">
            <v>Retirement Contributions</v>
          </cell>
          <cell r="C141">
            <v>4635.79</v>
          </cell>
        </row>
        <row r="142">
          <cell r="A142" t="str">
            <v>101-10-50335</v>
          </cell>
          <cell r="B142" t="str">
            <v>Workers Comp Fee</v>
          </cell>
          <cell r="C142">
            <v>28.51</v>
          </cell>
        </row>
        <row r="143">
          <cell r="A143" t="str">
            <v>101-10-50500</v>
          </cell>
          <cell r="B143" t="str">
            <v>Life Insurance</v>
          </cell>
          <cell r="C143">
            <v>128.49</v>
          </cell>
        </row>
        <row r="144">
          <cell r="A144" t="str">
            <v>101-10-62400</v>
          </cell>
          <cell r="B144" t="str">
            <v>Professional Services</v>
          </cell>
          <cell r="C144">
            <v>450</v>
          </cell>
        </row>
        <row r="145">
          <cell r="A145" t="str">
            <v>101-10-63100</v>
          </cell>
          <cell r="B145" t="str">
            <v>Supplies</v>
          </cell>
          <cell r="C145">
            <v>1955.91</v>
          </cell>
        </row>
        <row r="146">
          <cell r="A146" t="str">
            <v>101-10-70900</v>
          </cell>
          <cell r="B146" t="str">
            <v>Printing/Publishing/Advertising</v>
          </cell>
          <cell r="C146">
            <v>110.65</v>
          </cell>
        </row>
        <row r="147">
          <cell r="A147" t="str">
            <v>101-10-71200</v>
          </cell>
          <cell r="B147" t="str">
            <v>Rent of Equipment/Printer Lease</v>
          </cell>
          <cell r="C147">
            <v>1996.68</v>
          </cell>
        </row>
        <row r="148">
          <cell r="A148" t="str">
            <v>101-10-71600</v>
          </cell>
          <cell r="B148" t="str">
            <v>Telephone</v>
          </cell>
          <cell r="C148">
            <v>5350</v>
          </cell>
        </row>
        <row r="149">
          <cell r="A149" t="str">
            <v>101-10-71700</v>
          </cell>
          <cell r="B149" t="str">
            <v>Utilities</v>
          </cell>
          <cell r="C149">
            <v>5014</v>
          </cell>
        </row>
        <row r="150">
          <cell r="A150" t="str">
            <v>101-11-50201</v>
          </cell>
          <cell r="B150" t="str">
            <v>Full Time Classified</v>
          </cell>
          <cell r="C150">
            <v>31173.3</v>
          </cell>
        </row>
        <row r="151">
          <cell r="A151" t="str">
            <v>101-11-50300</v>
          </cell>
          <cell r="B151" t="str">
            <v>FICA-Medicare</v>
          </cell>
          <cell r="C151">
            <v>376.96</v>
          </cell>
        </row>
        <row r="152">
          <cell r="A152" t="str">
            <v>101-11-50310</v>
          </cell>
          <cell r="B152" t="str">
            <v>Fed Unemployment</v>
          </cell>
          <cell r="C152">
            <v>346.82</v>
          </cell>
        </row>
        <row r="153">
          <cell r="A153" t="str">
            <v>101-11-50320</v>
          </cell>
          <cell r="B153" t="str">
            <v>Retirement Contributions</v>
          </cell>
          <cell r="C153">
            <v>2246.89</v>
          </cell>
        </row>
        <row r="154">
          <cell r="A154" t="str">
            <v>101-11-50335</v>
          </cell>
          <cell r="B154" t="str">
            <v>Workers Comp Fee</v>
          </cell>
          <cell r="C154">
            <v>8.85</v>
          </cell>
        </row>
        <row r="155">
          <cell r="A155" t="str">
            <v>101-11-50340</v>
          </cell>
          <cell r="B155" t="str">
            <v>Health Care</v>
          </cell>
          <cell r="C155">
            <v>16103.06</v>
          </cell>
        </row>
        <row r="156">
          <cell r="A156" t="str">
            <v>101-11-50500</v>
          </cell>
          <cell r="B156" t="str">
            <v>Life Insurance</v>
          </cell>
          <cell r="C156">
            <v>157.68</v>
          </cell>
        </row>
        <row r="157">
          <cell r="A157" t="str">
            <v>101-11-60102</v>
          </cell>
          <cell r="B157" t="str">
            <v>Conf. Registrations</v>
          </cell>
          <cell r="C157">
            <v>120</v>
          </cell>
        </row>
        <row r="158">
          <cell r="A158" t="str">
            <v>101-11-60110</v>
          </cell>
          <cell r="B158" t="str">
            <v>Per Diem &amp; Travel</v>
          </cell>
          <cell r="C158">
            <v>216.36</v>
          </cell>
        </row>
        <row r="159">
          <cell r="A159" t="str">
            <v>101-11-61120</v>
          </cell>
          <cell r="B159" t="str">
            <v>Animal Control Expense</v>
          </cell>
          <cell r="C159">
            <v>4585</v>
          </cell>
        </row>
        <row r="160">
          <cell r="A160" t="str">
            <v>101-11-63100</v>
          </cell>
          <cell r="B160" t="str">
            <v>Supplies</v>
          </cell>
          <cell r="C160">
            <v>5812.81</v>
          </cell>
        </row>
        <row r="161">
          <cell r="A161" t="str">
            <v>101-11-63400</v>
          </cell>
          <cell r="B161" t="str">
            <v>Uniforms</v>
          </cell>
          <cell r="C161">
            <v>994.71</v>
          </cell>
        </row>
        <row r="162">
          <cell r="A162" t="str">
            <v>101-13-50201</v>
          </cell>
          <cell r="B162" t="str">
            <v>Full Time Classified</v>
          </cell>
          <cell r="C162">
            <v>161208.09</v>
          </cell>
        </row>
        <row r="163">
          <cell r="A163" t="str">
            <v>101-13-50300</v>
          </cell>
          <cell r="B163" t="str">
            <v>FICA-Medicare</v>
          </cell>
          <cell r="C163">
            <v>2180.36</v>
          </cell>
        </row>
        <row r="164">
          <cell r="A164" t="str">
            <v>101-13-50310</v>
          </cell>
          <cell r="B164" t="str">
            <v>Fed Unemployment</v>
          </cell>
          <cell r="C164">
            <v>2139.94</v>
          </cell>
        </row>
        <row r="165">
          <cell r="A165" t="str">
            <v>101-13-50320</v>
          </cell>
          <cell r="B165" t="str">
            <v>Retirement Contributions</v>
          </cell>
          <cell r="C165">
            <v>11510.49</v>
          </cell>
        </row>
        <row r="166">
          <cell r="A166" t="str">
            <v>101-13-50335</v>
          </cell>
          <cell r="B166" t="str">
            <v>Workers Comp Fee</v>
          </cell>
          <cell r="C166">
            <v>52.9</v>
          </cell>
        </row>
        <row r="167">
          <cell r="A167" t="str">
            <v>101-13-50340</v>
          </cell>
          <cell r="B167" t="str">
            <v>Health Care</v>
          </cell>
          <cell r="C167">
            <v>49678.559999999998</v>
          </cell>
        </row>
        <row r="168">
          <cell r="A168" t="str">
            <v>101-13-50500</v>
          </cell>
          <cell r="B168" t="str">
            <v>Life Insurance</v>
          </cell>
          <cell r="C168">
            <v>719.14</v>
          </cell>
        </row>
        <row r="169">
          <cell r="A169" t="str">
            <v>101-13-60110</v>
          </cell>
          <cell r="B169" t="str">
            <v>Per Diem &amp; Travel</v>
          </cell>
          <cell r="C169">
            <v>542.44000000000005</v>
          </cell>
        </row>
        <row r="170">
          <cell r="A170" t="str">
            <v>101-13-62400</v>
          </cell>
          <cell r="B170" t="str">
            <v>Professional Services</v>
          </cell>
          <cell r="C170">
            <v>1635</v>
          </cell>
        </row>
        <row r="171">
          <cell r="A171" t="str">
            <v>101-13-63100</v>
          </cell>
          <cell r="B171" t="str">
            <v>Supplies</v>
          </cell>
          <cell r="C171">
            <v>1666.38</v>
          </cell>
        </row>
        <row r="172">
          <cell r="A172" t="str">
            <v>101-13-63400</v>
          </cell>
          <cell r="B172" t="str">
            <v>Uniforms</v>
          </cell>
          <cell r="C172">
            <v>638.25</v>
          </cell>
        </row>
        <row r="173">
          <cell r="A173" t="str">
            <v>101-13-70800</v>
          </cell>
          <cell r="B173" t="str">
            <v>Postage &amp; Mail Services</v>
          </cell>
          <cell r="C173">
            <v>500</v>
          </cell>
        </row>
        <row r="174">
          <cell r="A174" t="str">
            <v>101-13-71200</v>
          </cell>
          <cell r="B174" t="str">
            <v>Rent of Equipment/Machinery</v>
          </cell>
          <cell r="C174">
            <v>2100</v>
          </cell>
        </row>
        <row r="175">
          <cell r="A175" t="str">
            <v>101-13-71600</v>
          </cell>
          <cell r="B175" t="str">
            <v>Telephone</v>
          </cell>
          <cell r="C175">
            <v>4370.37</v>
          </cell>
        </row>
        <row r="176">
          <cell r="A176" t="str">
            <v>101-13-80000</v>
          </cell>
          <cell r="B176" t="str">
            <v>Customer Refund</v>
          </cell>
          <cell r="C176">
            <v>27</v>
          </cell>
        </row>
        <row r="177">
          <cell r="A177" t="str">
            <v>101-14-50201</v>
          </cell>
          <cell r="B177" t="str">
            <v>Full Time Classified</v>
          </cell>
          <cell r="C177">
            <v>79040</v>
          </cell>
        </row>
        <row r="178">
          <cell r="A178" t="str">
            <v>101-14-50300</v>
          </cell>
          <cell r="B178" t="str">
            <v>FICA-Medicare</v>
          </cell>
          <cell r="C178">
            <v>1114.55</v>
          </cell>
        </row>
        <row r="179">
          <cell r="A179" t="str">
            <v>101-14-50310</v>
          </cell>
          <cell r="B179" t="str">
            <v>Fed Unemployment</v>
          </cell>
          <cell r="C179">
            <v>797.66</v>
          </cell>
        </row>
        <row r="180">
          <cell r="A180" t="str">
            <v>101-14-50320</v>
          </cell>
          <cell r="B180" t="str">
            <v>Retirement Contributions</v>
          </cell>
          <cell r="C180">
            <v>5848.96</v>
          </cell>
        </row>
        <row r="181">
          <cell r="A181" t="str">
            <v>101-14-50335</v>
          </cell>
          <cell r="B181" t="str">
            <v>Workers Comp Fee</v>
          </cell>
          <cell r="C181">
            <v>18.399999999999999</v>
          </cell>
        </row>
        <row r="182">
          <cell r="A182" t="str">
            <v>101-14-50340</v>
          </cell>
          <cell r="B182" t="str">
            <v>Health Care</v>
          </cell>
          <cell r="C182">
            <v>14298.72</v>
          </cell>
        </row>
        <row r="183">
          <cell r="A183" t="str">
            <v>101-14-50500</v>
          </cell>
          <cell r="B183" t="str">
            <v>Life Insurance</v>
          </cell>
          <cell r="C183">
            <v>296.87</v>
          </cell>
        </row>
        <row r="184">
          <cell r="A184" t="str">
            <v>101-14-60102</v>
          </cell>
          <cell r="B184" t="str">
            <v>Conf. Registrations</v>
          </cell>
          <cell r="C184">
            <v>1322</v>
          </cell>
        </row>
        <row r="185">
          <cell r="A185" t="str">
            <v>101-14-60110</v>
          </cell>
          <cell r="B185" t="str">
            <v>Per Diem &amp; Travel</v>
          </cell>
          <cell r="C185">
            <v>980.14</v>
          </cell>
        </row>
        <row r="186">
          <cell r="A186" t="str">
            <v>101-14-62400</v>
          </cell>
          <cell r="B186" t="str">
            <v>Professional Services</v>
          </cell>
          <cell r="C186">
            <v>20398.13</v>
          </cell>
        </row>
        <row r="187">
          <cell r="A187" t="str">
            <v>101-14-63100</v>
          </cell>
          <cell r="B187" t="str">
            <v>Supplies</v>
          </cell>
          <cell r="C187">
            <v>1199.56</v>
          </cell>
        </row>
        <row r="188">
          <cell r="A188" t="str">
            <v>101-14-72000</v>
          </cell>
          <cell r="B188" t="str">
            <v>Charges/Penalties/Fees</v>
          </cell>
          <cell r="C188">
            <v>1000</v>
          </cell>
        </row>
        <row r="189">
          <cell r="A189" t="str">
            <v>101-15-50201</v>
          </cell>
          <cell r="B189" t="str">
            <v>Full Time Classified</v>
          </cell>
          <cell r="C189">
            <v>37440</v>
          </cell>
        </row>
        <row r="190">
          <cell r="A190" t="str">
            <v>101-15-50300</v>
          </cell>
          <cell r="B190" t="str">
            <v>FICA-Medicare</v>
          </cell>
          <cell r="C190">
            <v>541.20000000000005</v>
          </cell>
        </row>
        <row r="191">
          <cell r="A191" t="str">
            <v>101-15-50310</v>
          </cell>
          <cell r="B191" t="str">
            <v>Fed Unemployment</v>
          </cell>
          <cell r="C191">
            <v>477.44</v>
          </cell>
        </row>
        <row r="192">
          <cell r="A192" t="str">
            <v>101-15-50320</v>
          </cell>
          <cell r="B192" t="str">
            <v>Retirement Contributions</v>
          </cell>
          <cell r="C192">
            <v>2770.56</v>
          </cell>
        </row>
        <row r="193">
          <cell r="A193" t="str">
            <v>101-15-50335</v>
          </cell>
          <cell r="B193" t="str">
            <v>Workers Comp Fee</v>
          </cell>
          <cell r="C193">
            <v>9.1999999999999993</v>
          </cell>
        </row>
        <row r="194">
          <cell r="A194" t="str">
            <v>101-15-50340</v>
          </cell>
          <cell r="B194" t="str">
            <v>Health Care</v>
          </cell>
          <cell r="C194">
            <v>4862.41</v>
          </cell>
        </row>
        <row r="195">
          <cell r="A195" t="str">
            <v>101-15-50500</v>
          </cell>
          <cell r="B195" t="str">
            <v>Life Insurance</v>
          </cell>
          <cell r="C195">
            <v>120.22</v>
          </cell>
        </row>
        <row r="196">
          <cell r="A196" t="str">
            <v>101-15-60110</v>
          </cell>
          <cell r="B196" t="str">
            <v>Per Diem &amp; Travel</v>
          </cell>
          <cell r="C196">
            <v>975.46</v>
          </cell>
        </row>
        <row r="197">
          <cell r="A197" t="str">
            <v>101-15-63100</v>
          </cell>
          <cell r="B197" t="str">
            <v>Supplies</v>
          </cell>
          <cell r="C197">
            <v>2335.14</v>
          </cell>
        </row>
        <row r="198">
          <cell r="A198" t="str">
            <v>101-15-63800</v>
          </cell>
          <cell r="B198" t="str">
            <v>IT Services</v>
          </cell>
          <cell r="C198">
            <v>1130.55</v>
          </cell>
        </row>
        <row r="199">
          <cell r="A199" t="str">
            <v>101-15-91200</v>
          </cell>
          <cell r="B199" t="str">
            <v>Cap Equip &amp; Mach Exec</v>
          </cell>
          <cell r="C199">
            <v>1869.93</v>
          </cell>
        </row>
        <row r="200">
          <cell r="A200" t="str">
            <v>101-52000</v>
          </cell>
          <cell r="B200" t="str">
            <v>TRANSFER OUT</v>
          </cell>
          <cell r="C200">
            <v>858089.85</v>
          </cell>
        </row>
        <row r="201">
          <cell r="A201" t="str">
            <v>201-43691</v>
          </cell>
          <cell r="B201" t="str">
            <v>CAPITAL APPROPRIATION 16-A2253-STB</v>
          </cell>
          <cell r="C201">
            <v>-81171.98</v>
          </cell>
        </row>
        <row r="202">
          <cell r="A202" t="str">
            <v>201-01-91900</v>
          </cell>
          <cell r="B202" t="str">
            <v>Capital Outlay</v>
          </cell>
          <cell r="C202">
            <v>1899.98</v>
          </cell>
        </row>
        <row r="203">
          <cell r="A203" t="str">
            <v>220-48801</v>
          </cell>
          <cell r="B203" t="str">
            <v>Court Auto Fund Reimbursement</v>
          </cell>
          <cell r="C203">
            <v>-4038.38</v>
          </cell>
        </row>
        <row r="204">
          <cell r="A204" t="str">
            <v>220-48802</v>
          </cell>
          <cell r="B204" t="str">
            <v>Court Automation Fees</v>
          </cell>
          <cell r="C204">
            <v>-6277.46</v>
          </cell>
        </row>
        <row r="205">
          <cell r="A205" t="str">
            <v>220-16-60102</v>
          </cell>
          <cell r="B205" t="str">
            <v>Conf. Registrations</v>
          </cell>
          <cell r="C205">
            <v>473.06</v>
          </cell>
        </row>
        <row r="206">
          <cell r="A206" t="str">
            <v>220-16-63000</v>
          </cell>
          <cell r="B206" t="str">
            <v>Other Contractual Svcs</v>
          </cell>
          <cell r="C206">
            <v>6352.73</v>
          </cell>
        </row>
        <row r="207">
          <cell r="A207" t="str">
            <v>220-16-63100</v>
          </cell>
          <cell r="B207" t="str">
            <v>Supplies</v>
          </cell>
          <cell r="C207">
            <v>674.38</v>
          </cell>
        </row>
        <row r="208">
          <cell r="A208" t="str">
            <v>224-48802</v>
          </cell>
          <cell r="B208" t="str">
            <v>Judicial Education fund fees</v>
          </cell>
          <cell r="C208">
            <v>-3130</v>
          </cell>
        </row>
        <row r="209">
          <cell r="A209" t="str">
            <v>224-31-63000</v>
          </cell>
          <cell r="B209" t="str">
            <v>Jud Edu fees</v>
          </cell>
          <cell r="C209">
            <v>2968</v>
          </cell>
        </row>
        <row r="210">
          <cell r="A210" t="str">
            <v>225-44000</v>
          </cell>
          <cell r="B210" t="str">
            <v>Correction Fees/Care of Prisoners</v>
          </cell>
          <cell r="C210">
            <v>-20959.490000000002</v>
          </cell>
        </row>
        <row r="211">
          <cell r="A211" t="str">
            <v>225-17-44010</v>
          </cell>
          <cell r="B211" t="str">
            <v>Expenses for Corrections Fees/Care of Prisoners</v>
          </cell>
          <cell r="C211">
            <v>10238.07</v>
          </cell>
        </row>
        <row r="212">
          <cell r="A212" t="str">
            <v>232-52000</v>
          </cell>
          <cell r="B212" t="str">
            <v>TRANSFER OUT</v>
          </cell>
          <cell r="C212">
            <v>24405</v>
          </cell>
        </row>
        <row r="213">
          <cell r="A213" t="str">
            <v>240-48500</v>
          </cell>
          <cell r="B213" t="str">
            <v>Law Enforcement Protection Fund</v>
          </cell>
          <cell r="C213">
            <v>-25400</v>
          </cell>
        </row>
        <row r="214">
          <cell r="A214" t="str">
            <v>240-22-60102</v>
          </cell>
          <cell r="B214" t="str">
            <v>Conf. Registrations</v>
          </cell>
          <cell r="C214">
            <v>1757</v>
          </cell>
        </row>
        <row r="215">
          <cell r="A215" t="str">
            <v>240-22-60110</v>
          </cell>
          <cell r="B215" t="str">
            <v>Per Diem &amp; Travel</v>
          </cell>
          <cell r="C215">
            <v>1010.99</v>
          </cell>
        </row>
        <row r="216">
          <cell r="A216" t="str">
            <v>240-22-61400</v>
          </cell>
          <cell r="B216" t="str">
            <v>MAINTENANCE VEHICLE /EQUIPMENT</v>
          </cell>
          <cell r="C216">
            <v>8536.4</v>
          </cell>
        </row>
        <row r="217">
          <cell r="A217" t="str">
            <v>240-22-63200</v>
          </cell>
          <cell r="B217" t="str">
            <v>Non Cap Equipment</v>
          </cell>
          <cell r="C217">
            <v>16738.97</v>
          </cell>
        </row>
        <row r="218">
          <cell r="A218" t="str">
            <v>243-43700</v>
          </cell>
          <cell r="B218" t="str">
            <v>Library Donations/Revenue</v>
          </cell>
          <cell r="C218">
            <v>-13377.53</v>
          </cell>
        </row>
        <row r="219">
          <cell r="A219" t="str">
            <v>243-10-61700</v>
          </cell>
          <cell r="B219" t="str">
            <v>Library Expense</v>
          </cell>
          <cell r="C219">
            <v>12460.21</v>
          </cell>
        </row>
        <row r="220">
          <cell r="A220" t="str">
            <v>255-43685</v>
          </cell>
          <cell r="B220" t="str">
            <v>GENERAL OBLEGATION BOND</v>
          </cell>
          <cell r="C220">
            <v>-4045.6</v>
          </cell>
        </row>
        <row r="221">
          <cell r="A221" t="str">
            <v>255-10-61700</v>
          </cell>
          <cell r="B221" t="str">
            <v>Library Expense</v>
          </cell>
          <cell r="C221">
            <v>2150.25</v>
          </cell>
        </row>
        <row r="222">
          <cell r="A222" t="str">
            <v>255-10-61701</v>
          </cell>
          <cell r="B222" t="str">
            <v>Library Expense GOB 2018</v>
          </cell>
          <cell r="C222">
            <v>410.14</v>
          </cell>
        </row>
        <row r="223">
          <cell r="A223" t="str">
            <v>258-43688</v>
          </cell>
          <cell r="B223" t="str">
            <v>COLONIAS 3339-CIF</v>
          </cell>
          <cell r="C223">
            <v>-161750.76999999999</v>
          </cell>
        </row>
        <row r="224">
          <cell r="A224" t="str">
            <v>258-51000</v>
          </cell>
          <cell r="B224" t="str">
            <v>TRANSFER IN</v>
          </cell>
          <cell r="C224">
            <v>-68842</v>
          </cell>
        </row>
        <row r="225">
          <cell r="A225" t="str">
            <v>258-37-62400</v>
          </cell>
          <cell r="B225" t="str">
            <v>Professional Services</v>
          </cell>
          <cell r="C225">
            <v>145681.13</v>
          </cell>
        </row>
        <row r="226">
          <cell r="A226" t="str">
            <v>261-43690</v>
          </cell>
          <cell r="B226" t="str">
            <v>KEEP NEW MEXICO TRUE</v>
          </cell>
          <cell r="C226">
            <v>-4838.4399999999996</v>
          </cell>
        </row>
        <row r="227">
          <cell r="A227" t="str">
            <v>261-40-61300</v>
          </cell>
          <cell r="B227" t="str">
            <v>Maintenance grounds/Roadways</v>
          </cell>
          <cell r="C227">
            <v>10685.91</v>
          </cell>
        </row>
        <row r="228">
          <cell r="A228" t="str">
            <v>264-43693</v>
          </cell>
          <cell r="B228" t="str">
            <v>NM DOT-E100220</v>
          </cell>
          <cell r="C228">
            <v>-151509.79</v>
          </cell>
        </row>
        <row r="229">
          <cell r="A229" t="str">
            <v>264-51000</v>
          </cell>
          <cell r="B229" t="str">
            <v>TRANSFER IN</v>
          </cell>
          <cell r="C229">
            <v>-53022</v>
          </cell>
        </row>
        <row r="230">
          <cell r="A230" t="str">
            <v>264-43-62400</v>
          </cell>
          <cell r="B230" t="str">
            <v>Professional Services</v>
          </cell>
          <cell r="C230">
            <v>299306.8</v>
          </cell>
        </row>
        <row r="231">
          <cell r="A231" t="str">
            <v>265-43694</v>
          </cell>
          <cell r="B231" t="str">
            <v>ENDWI REVENUE</v>
          </cell>
          <cell r="C231">
            <v>-4719.63</v>
          </cell>
        </row>
        <row r="232">
          <cell r="A232" t="str">
            <v>265-05-50230</v>
          </cell>
          <cell r="B232" t="str">
            <v>Overtime FT Class Police</v>
          </cell>
          <cell r="C232">
            <v>3113.76</v>
          </cell>
        </row>
        <row r="233">
          <cell r="A233" t="str">
            <v>265-05-50300</v>
          </cell>
          <cell r="B233" t="str">
            <v>FICA-Medicare</v>
          </cell>
          <cell r="C233">
            <v>41.15</v>
          </cell>
        </row>
        <row r="234">
          <cell r="A234" t="str">
            <v>265-05-50310</v>
          </cell>
          <cell r="B234" t="str">
            <v>Fed Unemployment</v>
          </cell>
          <cell r="C234">
            <v>30.47</v>
          </cell>
        </row>
        <row r="235">
          <cell r="A235" t="str">
            <v>265-05-50320</v>
          </cell>
          <cell r="B235" t="str">
            <v>Retirement Contributions</v>
          </cell>
          <cell r="C235">
            <v>230.71</v>
          </cell>
        </row>
        <row r="236">
          <cell r="A236" t="str">
            <v>265-05-50335</v>
          </cell>
          <cell r="B236" t="str">
            <v>Workers Comp Fee</v>
          </cell>
          <cell r="C236">
            <v>1.33</v>
          </cell>
        </row>
        <row r="237">
          <cell r="A237" t="str">
            <v>265-05-50340</v>
          </cell>
          <cell r="B237" t="str">
            <v>Health Care</v>
          </cell>
          <cell r="C237">
            <v>484.18</v>
          </cell>
        </row>
        <row r="238">
          <cell r="A238" t="str">
            <v>265-05-50500</v>
          </cell>
          <cell r="B238" t="str">
            <v>Life Insurance</v>
          </cell>
          <cell r="C238">
            <v>8.18</v>
          </cell>
        </row>
        <row r="239">
          <cell r="A239" t="str">
            <v>266-43695</v>
          </cell>
          <cell r="B239" t="str">
            <v>BKLUP/CIOT REVENUE</v>
          </cell>
          <cell r="C239">
            <v>-1930.08</v>
          </cell>
        </row>
        <row r="240">
          <cell r="A240" t="str">
            <v>266-05-50230</v>
          </cell>
          <cell r="B240" t="str">
            <v>Overtime FT Class Police</v>
          </cell>
          <cell r="C240">
            <v>1459.5</v>
          </cell>
        </row>
        <row r="241">
          <cell r="A241" t="str">
            <v>266-05-50300</v>
          </cell>
          <cell r="B241" t="str">
            <v>FICA-Medicare</v>
          </cell>
          <cell r="C241">
            <v>22.23</v>
          </cell>
        </row>
        <row r="242">
          <cell r="A242" t="str">
            <v>266-05-50310</v>
          </cell>
          <cell r="B242" t="str">
            <v>Fed Unemployment</v>
          </cell>
          <cell r="C242">
            <v>20.57</v>
          </cell>
        </row>
        <row r="243">
          <cell r="A243" t="str">
            <v>266-05-50320</v>
          </cell>
          <cell r="B243" t="str">
            <v>Retirement Contributions</v>
          </cell>
          <cell r="C243">
            <v>129.99</v>
          </cell>
        </row>
        <row r="244">
          <cell r="A244" t="str">
            <v>266-05-50340</v>
          </cell>
          <cell r="B244" t="str">
            <v>Health Care</v>
          </cell>
          <cell r="C244">
            <v>292.45</v>
          </cell>
        </row>
        <row r="245">
          <cell r="A245" t="str">
            <v>266-05-50500</v>
          </cell>
          <cell r="B245" t="str">
            <v>Life Insurance</v>
          </cell>
          <cell r="C245">
            <v>5.34</v>
          </cell>
        </row>
        <row r="246">
          <cell r="A246" t="str">
            <v>268-43693</v>
          </cell>
          <cell r="B246" t="str">
            <v>Ballpark Improvements</v>
          </cell>
          <cell r="C246">
            <v>-25000</v>
          </cell>
        </row>
        <row r="247">
          <cell r="A247" t="str">
            <v>268-43-62400</v>
          </cell>
          <cell r="B247" t="str">
            <v>Professional Services</v>
          </cell>
          <cell r="C247">
            <v>25000</v>
          </cell>
        </row>
        <row r="248">
          <cell r="A248" t="str">
            <v>269-01-91900</v>
          </cell>
          <cell r="B248" t="str">
            <v>Capital Outlay</v>
          </cell>
          <cell r="C248">
            <v>224487.66</v>
          </cell>
        </row>
        <row r="249">
          <cell r="A249" t="str">
            <v>271-51000</v>
          </cell>
          <cell r="B249" t="str">
            <v>TRANSFER IN</v>
          </cell>
          <cell r="C249">
            <v>-11266</v>
          </cell>
        </row>
        <row r="250">
          <cell r="A250" t="str">
            <v>272-43691</v>
          </cell>
          <cell r="B250" t="str">
            <v>NM DOT Contract D15485 (C1162560)</v>
          </cell>
          <cell r="C250">
            <v>-64837.61</v>
          </cell>
        </row>
        <row r="251">
          <cell r="A251" t="str">
            <v>272-01-91900</v>
          </cell>
          <cell r="B251" t="str">
            <v>Capital Outlay</v>
          </cell>
          <cell r="C251">
            <v>64837.61</v>
          </cell>
        </row>
        <row r="252">
          <cell r="A252" t="str">
            <v>273-01-71600</v>
          </cell>
          <cell r="B252" t="str">
            <v>Telephone</v>
          </cell>
          <cell r="C252">
            <v>1261.3900000000001</v>
          </cell>
        </row>
        <row r="253">
          <cell r="A253" t="str">
            <v>274-43691</v>
          </cell>
          <cell r="B253" t="str">
            <v>NMFA Project No 3577-PG</v>
          </cell>
          <cell r="C253">
            <v>-49763.09</v>
          </cell>
        </row>
        <row r="254">
          <cell r="A254" t="str">
            <v>274-51000</v>
          </cell>
          <cell r="B254" t="str">
            <v>TRANSFER IN</v>
          </cell>
          <cell r="C254">
            <v>-500</v>
          </cell>
        </row>
        <row r="255">
          <cell r="A255" t="str">
            <v>274-01-91900</v>
          </cell>
          <cell r="B255" t="str">
            <v>Capital Outlay</v>
          </cell>
          <cell r="C255">
            <v>14615.81</v>
          </cell>
        </row>
        <row r="256">
          <cell r="A256" t="str">
            <v>275-43691</v>
          </cell>
          <cell r="B256" t="str">
            <v>FINAL PHASE - 4TH STREET 3505-CIF</v>
          </cell>
          <cell r="C256">
            <v>-585808.46</v>
          </cell>
        </row>
        <row r="257">
          <cell r="A257" t="str">
            <v>275-51000</v>
          </cell>
          <cell r="B257" t="str">
            <v>TRANSFER IN</v>
          </cell>
          <cell r="C257">
            <v>-150000</v>
          </cell>
        </row>
        <row r="258">
          <cell r="A258" t="str">
            <v>275-01-91900</v>
          </cell>
          <cell r="B258" t="str">
            <v>Capital Outlay</v>
          </cell>
          <cell r="C258">
            <v>654171.78</v>
          </cell>
        </row>
        <row r="259">
          <cell r="A259" t="str">
            <v>276-44100</v>
          </cell>
          <cell r="B259" t="str">
            <v>Court Fines</v>
          </cell>
          <cell r="C259">
            <v>-45931.59</v>
          </cell>
        </row>
        <row r="260">
          <cell r="A260" t="str">
            <v>276-51000</v>
          </cell>
          <cell r="B260" t="str">
            <v>TRANSFER IN</v>
          </cell>
          <cell r="C260">
            <v>-330000</v>
          </cell>
        </row>
        <row r="261">
          <cell r="A261" t="str">
            <v>276-01-91900</v>
          </cell>
          <cell r="B261" t="str">
            <v>Capital Outlay</v>
          </cell>
          <cell r="C261">
            <v>262437.56</v>
          </cell>
        </row>
        <row r="262">
          <cell r="A262" t="str">
            <v>277-43691</v>
          </cell>
          <cell r="B262" t="str">
            <v>CDBG GRANT 16-C-NR-I-07-G-18 (FEDERAL)</v>
          </cell>
          <cell r="C262">
            <v>-15984.98</v>
          </cell>
        </row>
        <row r="263">
          <cell r="A263" t="str">
            <v>277-51000</v>
          </cell>
          <cell r="B263" t="str">
            <v>TRANSFER IN</v>
          </cell>
          <cell r="C263">
            <v>-50305.05</v>
          </cell>
        </row>
        <row r="264">
          <cell r="A264" t="str">
            <v>277-01-91900</v>
          </cell>
          <cell r="B264" t="str">
            <v>Capital Outlay</v>
          </cell>
          <cell r="C264">
            <v>24298.98</v>
          </cell>
        </row>
        <row r="265">
          <cell r="A265" t="str">
            <v>277-25-63100</v>
          </cell>
          <cell r="B265" t="str">
            <v>Supplies</v>
          </cell>
          <cell r="C265">
            <v>305.05</v>
          </cell>
        </row>
        <row r="266">
          <cell r="A266" t="str">
            <v>278-51000</v>
          </cell>
          <cell r="B266" t="str">
            <v>TRANSFER IN</v>
          </cell>
          <cell r="C266">
            <v>-16992.490000000002</v>
          </cell>
        </row>
        <row r="267">
          <cell r="A267" t="str">
            <v>279-43691</v>
          </cell>
          <cell r="B267" t="str">
            <v>NMDOT CITY STREETS SP-1-18 (905)</v>
          </cell>
          <cell r="C267">
            <v>-32711</v>
          </cell>
        </row>
        <row r="268">
          <cell r="A268" t="str">
            <v>279-51000</v>
          </cell>
          <cell r="B268" t="str">
            <v>TRANSFER IN</v>
          </cell>
          <cell r="C268">
            <v>-10904</v>
          </cell>
        </row>
        <row r="269">
          <cell r="A269" t="str">
            <v>279-01-91900</v>
          </cell>
          <cell r="B269" t="str">
            <v>Capital Outlay</v>
          </cell>
          <cell r="C269">
            <v>26341.54</v>
          </cell>
        </row>
        <row r="270">
          <cell r="A270" t="str">
            <v>280-43691</v>
          </cell>
          <cell r="B270" t="str">
            <v>United State Department of Agriculture</v>
          </cell>
          <cell r="C270">
            <v>-19000</v>
          </cell>
        </row>
        <row r="271">
          <cell r="A271" t="str">
            <v>280-51000</v>
          </cell>
          <cell r="B271" t="str">
            <v>TRANSFER IN</v>
          </cell>
          <cell r="C271">
            <v>-17286.419999999998</v>
          </cell>
        </row>
        <row r="272">
          <cell r="A272" t="str">
            <v>280-01-91900</v>
          </cell>
          <cell r="B272" t="str">
            <v>Capital Outlay</v>
          </cell>
          <cell r="C272">
            <v>36286.42</v>
          </cell>
        </row>
        <row r="273">
          <cell r="A273" t="str">
            <v>281-43691</v>
          </cell>
          <cell r="B273" t="str">
            <v>New Mexico State Library</v>
          </cell>
          <cell r="C273">
            <v>-3000</v>
          </cell>
        </row>
        <row r="274">
          <cell r="A274" t="str">
            <v>281-01-91900</v>
          </cell>
          <cell r="B274" t="str">
            <v>Capital Outlay</v>
          </cell>
          <cell r="C274">
            <v>3000</v>
          </cell>
        </row>
        <row r="275">
          <cell r="A275" t="str">
            <v>282-43691</v>
          </cell>
          <cell r="B275" t="str">
            <v>Bureau of Justice Assistance Grant</v>
          </cell>
          <cell r="C275">
            <v>-7615</v>
          </cell>
        </row>
        <row r="276">
          <cell r="A276" t="str">
            <v>282-51000</v>
          </cell>
          <cell r="B276" t="str">
            <v>TRANSFER IN</v>
          </cell>
          <cell r="C276">
            <v>-19453.439999999999</v>
          </cell>
        </row>
        <row r="277">
          <cell r="A277" t="str">
            <v>282-01-91900</v>
          </cell>
          <cell r="B277" t="str">
            <v>Capital Outlay</v>
          </cell>
          <cell r="C277">
            <v>14518</v>
          </cell>
        </row>
        <row r="278">
          <cell r="A278" t="str">
            <v>300-41300</v>
          </cell>
          <cell r="B278" t="str">
            <v>Combined Fuel Tax Distribution</v>
          </cell>
          <cell r="C278">
            <v>-5447.21</v>
          </cell>
        </row>
        <row r="279">
          <cell r="A279" t="str">
            <v>300-24-61300</v>
          </cell>
          <cell r="B279" t="str">
            <v>Maintenance Grounds/Roadways</v>
          </cell>
          <cell r="C279">
            <v>7803.11</v>
          </cell>
        </row>
        <row r="280">
          <cell r="A280" t="str">
            <v>301-40103</v>
          </cell>
          <cell r="B280" t="str">
            <v>LODGERS' TAX</v>
          </cell>
          <cell r="C280">
            <v>-1708.18</v>
          </cell>
        </row>
        <row r="281">
          <cell r="A281" t="str">
            <v>301-25-46001</v>
          </cell>
          <cell r="B281" t="str">
            <v>CITY PROMOTION EXPENSE</v>
          </cell>
          <cell r="C281">
            <v>1000</v>
          </cell>
        </row>
        <row r="282">
          <cell r="A282" t="str">
            <v>401-43691</v>
          </cell>
          <cell r="B282" t="str">
            <v>Charitable Projects Fund Revenue</v>
          </cell>
          <cell r="C282">
            <v>-500</v>
          </cell>
        </row>
        <row r="283">
          <cell r="A283" t="str">
            <v>401-01-91900</v>
          </cell>
          <cell r="B283" t="str">
            <v>Charitable Projects Fund Expense</v>
          </cell>
          <cell r="C283">
            <v>983.86</v>
          </cell>
        </row>
        <row r="284">
          <cell r="A284" t="str">
            <v>500-48110</v>
          </cell>
          <cell r="B284" t="str">
            <v>Interest Income</v>
          </cell>
          <cell r="C284">
            <v>-797.31</v>
          </cell>
        </row>
        <row r="285">
          <cell r="A285" t="str">
            <v>500-51000</v>
          </cell>
          <cell r="B285" t="str">
            <v>TRANSFER IN</v>
          </cell>
          <cell r="C285">
            <v>-117469.32</v>
          </cell>
        </row>
        <row r="286">
          <cell r="A286" t="str">
            <v>500-30-65200</v>
          </cell>
          <cell r="B286" t="str">
            <v>LOAN EXPENSE</v>
          </cell>
          <cell r="C286">
            <v>116105.04</v>
          </cell>
        </row>
        <row r="287">
          <cell r="A287" t="str">
            <v>510-51000</v>
          </cell>
          <cell r="B287" t="str">
            <v>TRANSFER IN</v>
          </cell>
          <cell r="C287">
            <v>-11963.58</v>
          </cell>
        </row>
        <row r="288">
          <cell r="A288" t="str">
            <v>510-10-65200</v>
          </cell>
          <cell r="B288" t="str">
            <v>LOAN EXPENSE GRANT CIF-3339</v>
          </cell>
          <cell r="C288">
            <v>7148</v>
          </cell>
        </row>
        <row r="289">
          <cell r="A289" t="str">
            <v>510-10-65300</v>
          </cell>
          <cell r="B289" t="str">
            <v>LOAN EXPENSE CIF3178</v>
          </cell>
          <cell r="C289">
            <v>5504</v>
          </cell>
        </row>
        <row r="290">
          <cell r="A290" t="str">
            <v>700-41600</v>
          </cell>
          <cell r="B290" t="str">
            <v>CN Wire Dona Ana County 60% Share</v>
          </cell>
          <cell r="C290">
            <v>-62966.400000000001</v>
          </cell>
        </row>
        <row r="291">
          <cell r="A291" t="str">
            <v>700-10-62400</v>
          </cell>
          <cell r="B291" t="str">
            <v>Doña Ana County Share</v>
          </cell>
          <cell r="C291">
            <v>62966.400000000001</v>
          </cell>
        </row>
        <row r="292">
          <cell r="A292" t="str">
            <v>800-41600</v>
          </cell>
          <cell r="B292" t="str">
            <v>MVD State Fees Collected</v>
          </cell>
          <cell r="C292">
            <v>-1051138.8</v>
          </cell>
        </row>
        <row r="293">
          <cell r="A293" t="str">
            <v>800-51000</v>
          </cell>
          <cell r="B293" t="str">
            <v>TRANSFER IN</v>
          </cell>
          <cell r="C293">
            <v>-85.55</v>
          </cell>
        </row>
        <row r="294">
          <cell r="A294" t="str">
            <v>800-10-62400</v>
          </cell>
          <cell r="B294" t="str">
            <v>MVD State Fees Distribution</v>
          </cell>
          <cell r="C294">
            <v>1054444.21</v>
          </cell>
        </row>
        <row r="295">
          <cell r="A295" t="str">
            <v>800-25-63100</v>
          </cell>
          <cell r="B295" t="str">
            <v>Supplies</v>
          </cell>
          <cell r="C295">
            <v>34.01</v>
          </cell>
        </row>
        <row r="296">
          <cell r="A296" t="str">
            <v>800-25-72000</v>
          </cell>
          <cell r="B296" t="str">
            <v>Bank Fees</v>
          </cell>
          <cell r="C296">
            <v>30</v>
          </cell>
        </row>
      </sheetData>
      <sheetData sheetId="7"/>
      <sheetData sheetId="8"/>
      <sheetData sheetId="9">
        <row r="1">
          <cell r="A1" t="str">
            <v>101-40000</v>
          </cell>
        </row>
      </sheetData>
      <sheetData sheetId="10">
        <row r="1">
          <cell r="A1" t="str">
            <v>101-40000</v>
          </cell>
        </row>
      </sheetData>
      <sheetData sheetId="11"/>
      <sheetData sheetId="12"/>
      <sheetData sheetId="13"/>
      <sheetData sheetId="14">
        <row r="25">
          <cell r="A25">
            <v>30</v>
          </cell>
          <cell r="B25" t="str">
            <v>Rosalinda Aldez</v>
          </cell>
          <cell r="C25">
            <v>338.88</v>
          </cell>
          <cell r="D25">
            <v>77.951999999999998</v>
          </cell>
        </row>
        <row r="26">
          <cell r="A26">
            <v>35</v>
          </cell>
          <cell r="B26" t="str">
            <v>Arroyos, Valeria</v>
          </cell>
          <cell r="C26">
            <v>338.88</v>
          </cell>
          <cell r="D26">
            <v>77.951999999999998</v>
          </cell>
        </row>
        <row r="27">
          <cell r="A27">
            <v>25</v>
          </cell>
          <cell r="B27" t="str">
            <v>Antonio Cervantes</v>
          </cell>
          <cell r="C27">
            <v>338.88</v>
          </cell>
          <cell r="D27">
            <v>77.951999999999998</v>
          </cell>
        </row>
        <row r="28">
          <cell r="A28">
            <v>41</v>
          </cell>
          <cell r="B28" t="str">
            <v>Luis Contreras</v>
          </cell>
          <cell r="C28">
            <v>1066.32</v>
          </cell>
          <cell r="D28">
            <v>206.976</v>
          </cell>
        </row>
        <row r="29">
          <cell r="A29">
            <v>31</v>
          </cell>
          <cell r="B29" t="str">
            <v>Veronica DeLao</v>
          </cell>
          <cell r="C29">
            <v>338.88</v>
          </cell>
          <cell r="D29">
            <v>77.951999999999998</v>
          </cell>
        </row>
        <row r="30">
          <cell r="A30">
            <v>34</v>
          </cell>
          <cell r="B30" t="str">
            <v>Adrian Flores</v>
          </cell>
          <cell r="C30">
            <v>1066.32</v>
          </cell>
          <cell r="D30">
            <v>206.976</v>
          </cell>
        </row>
        <row r="31">
          <cell r="A31">
            <v>42</v>
          </cell>
          <cell r="B31" t="str">
            <v>Edwin Gallardo</v>
          </cell>
          <cell r="C31">
            <v>338.88</v>
          </cell>
          <cell r="D31">
            <v>77.951999999999998</v>
          </cell>
        </row>
        <row r="32">
          <cell r="A32">
            <v>7</v>
          </cell>
          <cell r="B32" t="str">
            <v>Jorge Garcia</v>
          </cell>
          <cell r="C32">
            <v>338.88</v>
          </cell>
          <cell r="D32">
            <v>77.951999999999998</v>
          </cell>
        </row>
        <row r="33">
          <cell r="A33">
            <v>37</v>
          </cell>
          <cell r="B33" t="str">
            <v>Arturo Guerrero</v>
          </cell>
          <cell r="C33">
            <v>338.88</v>
          </cell>
          <cell r="D33">
            <v>77.951999999999998</v>
          </cell>
        </row>
        <row r="34">
          <cell r="A34">
            <v>38</v>
          </cell>
          <cell r="B34" t="str">
            <v>Jonathan Gutierrez</v>
          </cell>
          <cell r="C34">
            <v>1066.32</v>
          </cell>
          <cell r="D34">
            <v>206.976</v>
          </cell>
        </row>
        <row r="35">
          <cell r="A35">
            <v>29</v>
          </cell>
          <cell r="B35" t="str">
            <v>Javier Herrera</v>
          </cell>
          <cell r="C35">
            <v>1066.32</v>
          </cell>
          <cell r="D35">
            <v>206.976</v>
          </cell>
        </row>
        <row r="36">
          <cell r="A36">
            <v>43</v>
          </cell>
          <cell r="B36" t="str">
            <v>Vanessa Lara</v>
          </cell>
          <cell r="C36">
            <v>611.87999999999988</v>
          </cell>
          <cell r="D36">
            <v>156.57599999999999</v>
          </cell>
        </row>
        <row r="37">
          <cell r="A37">
            <v>39</v>
          </cell>
          <cell r="B37" t="str">
            <v>Carry Montano</v>
          </cell>
          <cell r="C37">
            <v>338.88</v>
          </cell>
          <cell r="D37">
            <v>77.951999999999998</v>
          </cell>
        </row>
        <row r="38">
          <cell r="A38">
            <v>3</v>
          </cell>
          <cell r="B38" t="str">
            <v>Esther Montongo</v>
          </cell>
          <cell r="C38">
            <v>338.88</v>
          </cell>
          <cell r="D38">
            <v>77.951999999999998</v>
          </cell>
        </row>
        <row r="39">
          <cell r="A39">
            <v>1</v>
          </cell>
          <cell r="B39" t="str">
            <v>Velma Navarrete</v>
          </cell>
          <cell r="C39">
            <v>338.88</v>
          </cell>
          <cell r="D39">
            <v>77.951999999999998</v>
          </cell>
        </row>
        <row r="40">
          <cell r="A40">
            <v>40</v>
          </cell>
          <cell r="B40" t="str">
            <v>Jose Provencio</v>
          </cell>
          <cell r="C40">
            <v>338.88</v>
          </cell>
          <cell r="D40">
            <v>77.951999999999998</v>
          </cell>
        </row>
        <row r="41">
          <cell r="A41">
            <v>5</v>
          </cell>
          <cell r="B41" t="str">
            <v>Fernando Ramirez</v>
          </cell>
          <cell r="C41">
            <v>611.87999999999988</v>
          </cell>
          <cell r="D41">
            <v>156.57599999999999</v>
          </cell>
        </row>
        <row r="42">
          <cell r="A42">
            <v>47</v>
          </cell>
          <cell r="B42" t="str">
            <v>Eleazer Roman</v>
          </cell>
          <cell r="C42">
            <v>338.88</v>
          </cell>
          <cell r="D42">
            <v>77.951999999999998</v>
          </cell>
        </row>
        <row r="43">
          <cell r="A43">
            <v>36</v>
          </cell>
          <cell r="B43" t="str">
            <v>Edward Salazar</v>
          </cell>
          <cell r="C43">
            <v>1066.32</v>
          </cell>
          <cell r="D43">
            <v>206.976</v>
          </cell>
        </row>
        <row r="44">
          <cell r="A44">
            <v>6</v>
          </cell>
          <cell r="B44" t="str">
            <v>Sara Vasquez</v>
          </cell>
          <cell r="C44">
            <v>338.88</v>
          </cell>
          <cell r="D44">
            <v>77.951999999999998</v>
          </cell>
        </row>
        <row r="45">
          <cell r="A45">
            <v>33</v>
          </cell>
          <cell r="B45" t="str">
            <v xml:space="preserve">Maribel Villa </v>
          </cell>
          <cell r="C45">
            <v>1066.32</v>
          </cell>
          <cell r="D45">
            <v>206.976</v>
          </cell>
        </row>
        <row r="46">
          <cell r="A46">
            <v>32</v>
          </cell>
          <cell r="B46" t="str">
            <v>Maria Estela Porras</v>
          </cell>
          <cell r="C46">
            <v>338.88</v>
          </cell>
          <cell r="D46">
            <v>77.951999999999998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Sheet1"/>
      <sheetName val="PAYROLL"/>
      <sheetName val="Sheet10"/>
      <sheetName val="Sheet8"/>
      <sheetName val="Funds"/>
      <sheetName val="Final"/>
      <sheetName val="Sheet7"/>
      <sheetName val="Sheet4"/>
      <sheetName val="Sheet2"/>
      <sheetName val="Sheet3"/>
      <sheetName val="Police"/>
      <sheetName val="Sheet6"/>
      <sheetName val="Sheet5"/>
      <sheetName val="Sheet11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5">
          <cell r="A25">
            <v>30</v>
          </cell>
          <cell r="B25" t="str">
            <v>Rosalinda Aldez</v>
          </cell>
          <cell r="C25">
            <v>338.88</v>
          </cell>
          <cell r="D25">
            <v>77.951999999999998</v>
          </cell>
        </row>
        <row r="26">
          <cell r="A26">
            <v>35</v>
          </cell>
          <cell r="B26" t="str">
            <v>Arroyos, Valeria</v>
          </cell>
          <cell r="C26">
            <v>338.88</v>
          </cell>
          <cell r="D26">
            <v>77.951999999999998</v>
          </cell>
        </row>
        <row r="27">
          <cell r="A27">
            <v>25</v>
          </cell>
          <cell r="B27" t="str">
            <v>Antonio Cervantes</v>
          </cell>
          <cell r="C27">
            <v>338.88</v>
          </cell>
          <cell r="D27">
            <v>77.951999999999998</v>
          </cell>
        </row>
        <row r="28">
          <cell r="A28">
            <v>41</v>
          </cell>
          <cell r="B28" t="str">
            <v>Luis Contreras</v>
          </cell>
          <cell r="C28">
            <v>1066.32</v>
          </cell>
          <cell r="D28">
            <v>206.976</v>
          </cell>
        </row>
        <row r="29">
          <cell r="A29">
            <v>31</v>
          </cell>
          <cell r="B29" t="str">
            <v>Veronica DeLao</v>
          </cell>
          <cell r="C29">
            <v>338.88</v>
          </cell>
          <cell r="D29">
            <v>77.951999999999998</v>
          </cell>
        </row>
        <row r="30">
          <cell r="A30">
            <v>34</v>
          </cell>
          <cell r="B30" t="str">
            <v>Adrian Flores</v>
          </cell>
          <cell r="C30">
            <v>1066.32</v>
          </cell>
          <cell r="D30">
            <v>206.976</v>
          </cell>
        </row>
        <row r="31">
          <cell r="A31">
            <v>42</v>
          </cell>
          <cell r="B31" t="str">
            <v>Edwin Gallardo</v>
          </cell>
          <cell r="C31">
            <v>338.88</v>
          </cell>
          <cell r="D31">
            <v>77.951999999999998</v>
          </cell>
        </row>
        <row r="32">
          <cell r="A32">
            <v>7</v>
          </cell>
          <cell r="B32" t="str">
            <v>Jorge Garcia</v>
          </cell>
          <cell r="C32">
            <v>338.88</v>
          </cell>
          <cell r="D32">
            <v>77.951999999999998</v>
          </cell>
        </row>
        <row r="33">
          <cell r="A33">
            <v>37</v>
          </cell>
          <cell r="B33" t="str">
            <v>Arturo Guerrero</v>
          </cell>
          <cell r="C33">
            <v>338.88</v>
          </cell>
          <cell r="D33">
            <v>77.951999999999998</v>
          </cell>
        </row>
        <row r="34">
          <cell r="A34">
            <v>38</v>
          </cell>
          <cell r="B34" t="str">
            <v>Jonathan Gutierrez</v>
          </cell>
          <cell r="C34">
            <v>1066.32</v>
          </cell>
          <cell r="D34">
            <v>206.976</v>
          </cell>
        </row>
        <row r="35">
          <cell r="A35">
            <v>29</v>
          </cell>
          <cell r="B35" t="str">
            <v>Javier Herrera</v>
          </cell>
          <cell r="C35">
            <v>1066.32</v>
          </cell>
          <cell r="D35">
            <v>206.976</v>
          </cell>
        </row>
        <row r="36">
          <cell r="A36">
            <v>43</v>
          </cell>
          <cell r="B36" t="str">
            <v>Vanessa Lara</v>
          </cell>
          <cell r="C36">
            <v>611.87999999999988</v>
          </cell>
          <cell r="D36">
            <v>156.57599999999999</v>
          </cell>
        </row>
        <row r="37">
          <cell r="A37">
            <v>39</v>
          </cell>
          <cell r="B37" t="str">
            <v>Carry Montano</v>
          </cell>
          <cell r="C37">
            <v>338.88</v>
          </cell>
          <cell r="D37">
            <v>77.951999999999998</v>
          </cell>
        </row>
        <row r="38">
          <cell r="A38">
            <v>3</v>
          </cell>
          <cell r="B38" t="str">
            <v>Esther Montongo</v>
          </cell>
          <cell r="C38">
            <v>338.88</v>
          </cell>
          <cell r="D38">
            <v>77.951999999999998</v>
          </cell>
        </row>
        <row r="39">
          <cell r="A39">
            <v>1</v>
          </cell>
          <cell r="B39" t="str">
            <v>Velma Navarrete</v>
          </cell>
          <cell r="C39">
            <v>338.88</v>
          </cell>
          <cell r="D39">
            <v>77.951999999999998</v>
          </cell>
        </row>
        <row r="40">
          <cell r="A40">
            <v>40</v>
          </cell>
          <cell r="B40" t="str">
            <v>Jose Provencio</v>
          </cell>
          <cell r="C40">
            <v>338.88</v>
          </cell>
          <cell r="D40">
            <v>77.951999999999998</v>
          </cell>
        </row>
        <row r="41">
          <cell r="A41">
            <v>5</v>
          </cell>
          <cell r="B41" t="str">
            <v>Fernando Ramirez</v>
          </cell>
          <cell r="C41">
            <v>611.87999999999988</v>
          </cell>
          <cell r="D41">
            <v>156.57599999999999</v>
          </cell>
        </row>
        <row r="42">
          <cell r="A42">
            <v>47</v>
          </cell>
          <cell r="B42" t="str">
            <v>Eleazer Roman</v>
          </cell>
          <cell r="C42">
            <v>338.88</v>
          </cell>
          <cell r="D42">
            <v>77.951999999999998</v>
          </cell>
        </row>
        <row r="43">
          <cell r="A43">
            <v>36</v>
          </cell>
          <cell r="B43" t="str">
            <v>Edward Salazar</v>
          </cell>
          <cell r="C43">
            <v>1066.32</v>
          </cell>
          <cell r="D43">
            <v>206.976</v>
          </cell>
        </row>
        <row r="44">
          <cell r="A44">
            <v>6</v>
          </cell>
          <cell r="B44" t="str">
            <v>Sara Vasquez</v>
          </cell>
          <cell r="C44">
            <v>338.88</v>
          </cell>
          <cell r="D44">
            <v>77.951999999999998</v>
          </cell>
        </row>
        <row r="45">
          <cell r="A45">
            <v>33</v>
          </cell>
          <cell r="B45" t="str">
            <v xml:space="preserve">Maribel Villa </v>
          </cell>
          <cell r="C45">
            <v>1066.32</v>
          </cell>
          <cell r="D45">
            <v>206.976</v>
          </cell>
        </row>
        <row r="46">
          <cell r="A46">
            <v>32</v>
          </cell>
          <cell r="B46" t="str">
            <v>Maria Estela Porras</v>
          </cell>
          <cell r="C46">
            <v>338.88</v>
          </cell>
          <cell r="D46">
            <v>77.951999999999998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By Department"/>
      <sheetName val="Funds"/>
      <sheetName val="PAYROLL (2)"/>
      <sheetName val="PAYROLL"/>
      <sheetName val="Police Projects"/>
      <sheetName val="Library Projects"/>
      <sheetName val="Court Funds"/>
      <sheetName val="Sheet4"/>
      <sheetName val="Sheet2"/>
      <sheetName val="Sheet3"/>
      <sheetName val="Sheet6"/>
      <sheetName val="Sheet5"/>
      <sheetName val="Match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101-40000</v>
          </cell>
          <cell r="B1" t="str">
            <v>Motor Vehicle Registration Tax</v>
          </cell>
          <cell r="C1">
            <v>10086</v>
          </cell>
        </row>
        <row r="2">
          <cell r="A2" t="str">
            <v>101-40100</v>
          </cell>
          <cell r="B2" t="str">
            <v>Franchise Fees</v>
          </cell>
          <cell r="C2">
            <v>99323</v>
          </cell>
        </row>
        <row r="3">
          <cell r="A3" t="str">
            <v>101-40101</v>
          </cell>
          <cell r="B3" t="str">
            <v>Small Cities Assistance</v>
          </cell>
          <cell r="C3">
            <v>177449</v>
          </cell>
        </row>
        <row r="4">
          <cell r="A4" t="str">
            <v>101-40102</v>
          </cell>
          <cell r="B4" t="str">
            <v>FIREWORK FEES</v>
          </cell>
          <cell r="C4">
            <v>25002</v>
          </cell>
        </row>
        <row r="5">
          <cell r="A5" t="str">
            <v>101-41500</v>
          </cell>
          <cell r="B5" t="str">
            <v>GRT - Local</v>
          </cell>
          <cell r="C5">
            <v>613735</v>
          </cell>
        </row>
        <row r="6">
          <cell r="A6" t="str">
            <v>101-41510</v>
          </cell>
          <cell r="B6" t="str">
            <v>GRT INFRASTRUCTURE</v>
          </cell>
          <cell r="C6">
            <v>60444</v>
          </cell>
        </row>
        <row r="7">
          <cell r="A7" t="str">
            <v>101-41520</v>
          </cell>
          <cell r="B7" t="str">
            <v>GRT STATE</v>
          </cell>
          <cell r="C7">
            <v>612476</v>
          </cell>
        </row>
        <row r="8">
          <cell r="A8" t="str">
            <v>101-41530</v>
          </cell>
          <cell r="B8" t="str">
            <v>GRT INTERSTATE TELECOM</v>
          </cell>
          <cell r="C8">
            <v>832</v>
          </cell>
        </row>
        <row r="9">
          <cell r="A9" t="str">
            <v>101-41540</v>
          </cell>
          <cell r="B9" t="str">
            <v>GRT MUNI EQUIV DIST</v>
          </cell>
          <cell r="C9">
            <v>4608</v>
          </cell>
        </row>
        <row r="10">
          <cell r="A10" t="str">
            <v>101-41600</v>
          </cell>
          <cell r="B10" t="str">
            <v>IRB CN Wire / VCST PILOT</v>
          </cell>
          <cell r="C10">
            <v>44409</v>
          </cell>
        </row>
        <row r="11">
          <cell r="A11" t="str">
            <v>101-41800</v>
          </cell>
          <cell r="B11" t="str">
            <v>Animal License Permits</v>
          </cell>
          <cell r="C11">
            <v>2331</v>
          </cell>
        </row>
        <row r="12">
          <cell r="A12" t="str">
            <v>101-42000</v>
          </cell>
          <cell r="B12" t="str">
            <v>Liquor License</v>
          </cell>
          <cell r="C12">
            <v>750</v>
          </cell>
        </row>
        <row r="13">
          <cell r="A13" t="str">
            <v>101-42200</v>
          </cell>
          <cell r="B13" t="str">
            <v>Business Application Permit</v>
          </cell>
          <cell r="C13">
            <v>5960</v>
          </cell>
        </row>
        <row r="14">
          <cell r="A14" t="str">
            <v>101-43300</v>
          </cell>
          <cell r="B14" t="str">
            <v>Printing &amp; Copying Fees</v>
          </cell>
          <cell r="C14">
            <v>585</v>
          </cell>
        </row>
        <row r="15">
          <cell r="A15" t="str">
            <v>101-43302</v>
          </cell>
          <cell r="B15" t="str">
            <v>MVD FEES</v>
          </cell>
          <cell r="C15">
            <v>171008</v>
          </cell>
        </row>
        <row r="16">
          <cell r="A16" t="str">
            <v>101-43303</v>
          </cell>
          <cell r="B16" t="str">
            <v>Motor Vehicle Agent Allotment</v>
          </cell>
          <cell r="C16">
            <v>91411</v>
          </cell>
        </row>
        <row r="17">
          <cell r="A17" t="str">
            <v>101-44100</v>
          </cell>
          <cell r="B17" t="str">
            <v>Court Fines</v>
          </cell>
          <cell r="C17">
            <v>19585</v>
          </cell>
        </row>
        <row r="18">
          <cell r="A18" t="str">
            <v>101-48501</v>
          </cell>
          <cell r="B18" t="str">
            <v>FACILITIES RENTAL FEE</v>
          </cell>
          <cell r="C18">
            <v>25</v>
          </cell>
        </row>
        <row r="19">
          <cell r="A19" t="str">
            <v>101-48900</v>
          </cell>
          <cell r="B19" t="str">
            <v>Recreation Income</v>
          </cell>
          <cell r="C19">
            <v>0</v>
          </cell>
        </row>
        <row r="20">
          <cell r="A20" t="str">
            <v>101-48901</v>
          </cell>
          <cell r="B20" t="str">
            <v>RENT INCOME</v>
          </cell>
          <cell r="C20">
            <v>96456</v>
          </cell>
        </row>
        <row r="21">
          <cell r="A21" t="str">
            <v>101-64700</v>
          </cell>
          <cell r="B21" t="str">
            <v>MISCELLANEOUS REVENUE</v>
          </cell>
          <cell r="C21">
            <v>2207</v>
          </cell>
        </row>
        <row r="22">
          <cell r="A22" t="str">
            <v>101-01-50100</v>
          </cell>
          <cell r="B22" t="str">
            <v>Elected Officials</v>
          </cell>
          <cell r="C22">
            <v>14400</v>
          </cell>
        </row>
        <row r="23">
          <cell r="A23" t="str">
            <v>101-01-50300</v>
          </cell>
          <cell r="B23" t="str">
            <v>FICA-Medicare</v>
          </cell>
          <cell r="C23">
            <v>1171</v>
          </cell>
        </row>
        <row r="24">
          <cell r="A24" t="str">
            <v>101-01-50360</v>
          </cell>
          <cell r="B24" t="str">
            <v>Civil Liability Insurance</v>
          </cell>
          <cell r="C24">
            <v>36243</v>
          </cell>
        </row>
        <row r="25">
          <cell r="A25" t="str">
            <v>101-01-50370</v>
          </cell>
          <cell r="B25" t="str">
            <v>Workers Compensation Ins.</v>
          </cell>
          <cell r="C25">
            <v>32938</v>
          </cell>
        </row>
        <row r="26">
          <cell r="A26" t="str">
            <v>101-01-50380</v>
          </cell>
          <cell r="B26" t="str">
            <v>Property Insurance</v>
          </cell>
          <cell r="C26">
            <v>8689</v>
          </cell>
        </row>
        <row r="27">
          <cell r="A27" t="str">
            <v>101-01-50400</v>
          </cell>
          <cell r="B27" t="str">
            <v>Auto Liability Insurance</v>
          </cell>
          <cell r="C27">
            <v>5097</v>
          </cell>
        </row>
        <row r="28">
          <cell r="A28" t="str">
            <v>101-01-60100</v>
          </cell>
          <cell r="B28" t="str">
            <v>Mileage Reimbursement</v>
          </cell>
          <cell r="C28">
            <v>0</v>
          </cell>
        </row>
        <row r="29">
          <cell r="A29" t="str">
            <v>101-01-60102</v>
          </cell>
          <cell r="B29" t="str">
            <v>Conf. Registrations</v>
          </cell>
          <cell r="C29">
            <v>825</v>
          </cell>
        </row>
        <row r="30">
          <cell r="A30" t="str">
            <v>101-01-60110</v>
          </cell>
          <cell r="B30" t="str">
            <v>Per Diem</v>
          </cell>
          <cell r="C30">
            <v>921</v>
          </cell>
        </row>
        <row r="31">
          <cell r="A31" t="str">
            <v>101-01-62400</v>
          </cell>
          <cell r="B31" t="str">
            <v>Professional Services</v>
          </cell>
          <cell r="C31">
            <v>73805</v>
          </cell>
        </row>
        <row r="32">
          <cell r="A32" t="str">
            <v>101-01-63100</v>
          </cell>
          <cell r="B32" t="str">
            <v>Supplies</v>
          </cell>
          <cell r="C32">
            <v>2473</v>
          </cell>
        </row>
        <row r="33">
          <cell r="A33" t="str">
            <v>101-01-63700</v>
          </cell>
          <cell r="B33" t="str">
            <v>Water</v>
          </cell>
          <cell r="C33">
            <v>935</v>
          </cell>
        </row>
        <row r="34">
          <cell r="A34" t="str">
            <v>101-01-70900</v>
          </cell>
          <cell r="B34" t="str">
            <v>Printing/Publishing/Advertising</v>
          </cell>
          <cell r="C34">
            <v>0</v>
          </cell>
        </row>
        <row r="35">
          <cell r="A35" t="str">
            <v>101-01-71300</v>
          </cell>
          <cell r="B35" t="str">
            <v>Subscriptions/Dues</v>
          </cell>
          <cell r="C35">
            <v>4764</v>
          </cell>
        </row>
        <row r="36">
          <cell r="A36" t="str">
            <v>101-01-71500</v>
          </cell>
          <cell r="B36" t="str">
            <v>Fuel</v>
          </cell>
          <cell r="C36">
            <v>4880</v>
          </cell>
        </row>
        <row r="37">
          <cell r="A37" t="str">
            <v>101-01-71600</v>
          </cell>
          <cell r="B37" t="str">
            <v>Telephone</v>
          </cell>
          <cell r="C37">
            <v>6650</v>
          </cell>
        </row>
        <row r="38">
          <cell r="A38" t="str">
            <v>101-01-71700</v>
          </cell>
          <cell r="B38" t="str">
            <v>Utilities</v>
          </cell>
          <cell r="C38">
            <v>31591</v>
          </cell>
        </row>
        <row r="39">
          <cell r="A39" t="str">
            <v>101-01-91200</v>
          </cell>
          <cell r="B39" t="str">
            <v>Cap Equip &amp; Mach</v>
          </cell>
          <cell r="C39">
            <v>11093</v>
          </cell>
        </row>
        <row r="40">
          <cell r="A40" t="str">
            <v>101-02-50100</v>
          </cell>
          <cell r="B40" t="str">
            <v>Elected Officials</v>
          </cell>
          <cell r="C40">
            <v>17335</v>
          </cell>
        </row>
        <row r="41">
          <cell r="A41" t="str">
            <v>101-02-50300</v>
          </cell>
          <cell r="B41" t="str">
            <v>FICA-Medicare</v>
          </cell>
          <cell r="C41">
            <v>1244</v>
          </cell>
        </row>
        <row r="42">
          <cell r="A42" t="str">
            <v>101-02-50335</v>
          </cell>
          <cell r="B42" t="str">
            <v>Workers Comp Fee</v>
          </cell>
          <cell r="C42">
            <v>5</v>
          </cell>
        </row>
        <row r="43">
          <cell r="A43" t="str">
            <v>101-02-60102</v>
          </cell>
          <cell r="B43" t="str">
            <v>Conf. Registrations</v>
          </cell>
          <cell r="C43">
            <v>1985</v>
          </cell>
        </row>
        <row r="44">
          <cell r="A44" t="str">
            <v>101-02-60110</v>
          </cell>
          <cell r="B44" t="str">
            <v>Per Diem</v>
          </cell>
          <cell r="C44">
            <v>648</v>
          </cell>
        </row>
        <row r="45">
          <cell r="A45" t="str">
            <v>101-02-63100</v>
          </cell>
          <cell r="B45" t="str">
            <v>Supplies</v>
          </cell>
          <cell r="C45">
            <v>33</v>
          </cell>
        </row>
        <row r="46">
          <cell r="A46" t="str">
            <v>101-02-70900</v>
          </cell>
          <cell r="B46" t="str">
            <v>Printing/Publishing/Advertising</v>
          </cell>
          <cell r="C46">
            <v>82</v>
          </cell>
        </row>
        <row r="47">
          <cell r="A47" t="str">
            <v>101-02-71300</v>
          </cell>
          <cell r="B47" t="str">
            <v>Subscriptions/Dues</v>
          </cell>
          <cell r="C47">
            <v>35</v>
          </cell>
        </row>
        <row r="48">
          <cell r="A48" t="str">
            <v>101-03-50200</v>
          </cell>
          <cell r="B48" t="str">
            <v>Full Time Exempt</v>
          </cell>
          <cell r="C48">
            <v>52504</v>
          </cell>
        </row>
        <row r="49">
          <cell r="A49" t="str">
            <v>101-03-50201</v>
          </cell>
          <cell r="B49" t="str">
            <v>Full Time Classified</v>
          </cell>
          <cell r="C49">
            <v>79943</v>
          </cell>
        </row>
        <row r="50">
          <cell r="A50" t="str">
            <v>101-03-50300</v>
          </cell>
          <cell r="B50" t="str">
            <v>FICA-Medicare</v>
          </cell>
          <cell r="C50">
            <v>3069</v>
          </cell>
        </row>
        <row r="51">
          <cell r="A51" t="str">
            <v>101-03-50310</v>
          </cell>
          <cell r="B51" t="str">
            <v>State Unemployment</v>
          </cell>
          <cell r="C51">
            <v>5001</v>
          </cell>
        </row>
        <row r="52">
          <cell r="A52" t="str">
            <v>101-03-50320</v>
          </cell>
          <cell r="B52" t="str">
            <v>Retirement Contributions</v>
          </cell>
          <cell r="C52">
            <v>8398</v>
          </cell>
        </row>
        <row r="53">
          <cell r="A53" t="str">
            <v>101-03-50335</v>
          </cell>
          <cell r="B53" t="str">
            <v>Workers Comp Fee</v>
          </cell>
          <cell r="C53">
            <v>47</v>
          </cell>
        </row>
        <row r="54">
          <cell r="A54" t="str">
            <v>101-03-50340</v>
          </cell>
          <cell r="B54" t="str">
            <v>Health Care</v>
          </cell>
          <cell r="C54">
            <v>13416</v>
          </cell>
        </row>
        <row r="55">
          <cell r="A55" t="str">
            <v>101-03-60102</v>
          </cell>
          <cell r="B55" t="str">
            <v>Conf. Registrations</v>
          </cell>
          <cell r="C55">
            <v>700</v>
          </cell>
        </row>
        <row r="56">
          <cell r="A56" t="str">
            <v>101-03-60110</v>
          </cell>
          <cell r="B56" t="str">
            <v>Per Diem</v>
          </cell>
          <cell r="C56">
            <v>1718</v>
          </cell>
        </row>
        <row r="57">
          <cell r="A57" t="str">
            <v>101-03-61110</v>
          </cell>
          <cell r="B57" t="str">
            <v>Office Equipment</v>
          </cell>
          <cell r="C57">
            <v>846</v>
          </cell>
        </row>
        <row r="58">
          <cell r="A58" t="str">
            <v>101-03-63000</v>
          </cell>
          <cell r="B58" t="str">
            <v>Other Contractual Svcs - Tyler Maint</v>
          </cell>
          <cell r="C58">
            <v>21407</v>
          </cell>
        </row>
        <row r="59">
          <cell r="A59" t="str">
            <v>101-03-63100</v>
          </cell>
          <cell r="B59" t="str">
            <v>Supplies</v>
          </cell>
          <cell r="C59">
            <v>2395</v>
          </cell>
        </row>
        <row r="60">
          <cell r="A60" t="str">
            <v>101-03-63800</v>
          </cell>
          <cell r="B60" t="str">
            <v>IT Services</v>
          </cell>
          <cell r="C60">
            <v>1721</v>
          </cell>
        </row>
        <row r="61">
          <cell r="A61" t="str">
            <v>101-03-70800</v>
          </cell>
          <cell r="B61" t="str">
            <v>Postage &amp; Mail Services</v>
          </cell>
          <cell r="C61">
            <v>3767</v>
          </cell>
        </row>
        <row r="62">
          <cell r="A62" t="str">
            <v>101-03-70900</v>
          </cell>
          <cell r="B62" t="str">
            <v>Printing/Publishing/Advertising</v>
          </cell>
          <cell r="C62">
            <v>349</v>
          </cell>
        </row>
        <row r="63">
          <cell r="A63" t="str">
            <v>101-03-71200</v>
          </cell>
          <cell r="B63" t="str">
            <v>Rent of Equipmen Copier</v>
          </cell>
          <cell r="C63">
            <v>4581</v>
          </cell>
        </row>
        <row r="64">
          <cell r="A64" t="str">
            <v>101-03-71300</v>
          </cell>
          <cell r="B64" t="str">
            <v>Subscriptions/Dues</v>
          </cell>
          <cell r="C64">
            <v>110</v>
          </cell>
        </row>
        <row r="65">
          <cell r="A65" t="str">
            <v>101-03-71600</v>
          </cell>
          <cell r="B65" t="str">
            <v>Telephone</v>
          </cell>
          <cell r="C65">
            <v>6958</v>
          </cell>
        </row>
        <row r="66">
          <cell r="A66" t="str">
            <v>101-03-72000</v>
          </cell>
          <cell r="B66" t="str">
            <v>Bank Charge Fees</v>
          </cell>
          <cell r="C66">
            <v>316</v>
          </cell>
        </row>
        <row r="67">
          <cell r="A67" t="str">
            <v>101-04-50100</v>
          </cell>
          <cell r="B67" t="str">
            <v>Elected Officials</v>
          </cell>
          <cell r="C67">
            <v>9600</v>
          </cell>
        </row>
        <row r="68">
          <cell r="A68" t="str">
            <v>101-04-50201</v>
          </cell>
          <cell r="B68" t="str">
            <v>Full Time Classified</v>
          </cell>
          <cell r="C68">
            <v>13899</v>
          </cell>
        </row>
        <row r="69">
          <cell r="A69" t="str">
            <v>101-04-50202</v>
          </cell>
          <cell r="B69" t="str">
            <v>Part Time Classified</v>
          </cell>
          <cell r="C69">
            <v>32523</v>
          </cell>
        </row>
        <row r="70">
          <cell r="A70" t="str">
            <v>101-04-50300</v>
          </cell>
          <cell r="B70" t="str">
            <v>FICA-Medicare</v>
          </cell>
          <cell r="C70">
            <v>2415</v>
          </cell>
        </row>
        <row r="71">
          <cell r="A71" t="str">
            <v>101-04-50310</v>
          </cell>
          <cell r="B71" t="str">
            <v>State Unemployment</v>
          </cell>
          <cell r="C71">
            <v>2105</v>
          </cell>
        </row>
        <row r="72">
          <cell r="A72" t="str">
            <v>101-04-50320</v>
          </cell>
          <cell r="B72" t="str">
            <v>Retirement Contributions</v>
          </cell>
          <cell r="C72">
            <v>4014</v>
          </cell>
        </row>
        <row r="73">
          <cell r="A73" t="str">
            <v>101-04-50335</v>
          </cell>
          <cell r="B73" t="str">
            <v>Workers Comp Fee</v>
          </cell>
          <cell r="C73">
            <v>28</v>
          </cell>
        </row>
        <row r="74">
          <cell r="A74" t="str">
            <v>101-04-50340</v>
          </cell>
          <cell r="B74" t="str">
            <v>Health Care</v>
          </cell>
          <cell r="C74">
            <v>8945</v>
          </cell>
        </row>
        <row r="75">
          <cell r="A75" t="str">
            <v>101-04-60100</v>
          </cell>
          <cell r="B75" t="str">
            <v>Mileage Reimbursement</v>
          </cell>
          <cell r="C75">
            <v>0</v>
          </cell>
        </row>
        <row r="76">
          <cell r="A76" t="str">
            <v>101-04-60102</v>
          </cell>
          <cell r="B76" t="str">
            <v>Conf. Registrations</v>
          </cell>
          <cell r="C76">
            <v>375</v>
          </cell>
        </row>
        <row r="77">
          <cell r="A77" t="str">
            <v>101-04-60110</v>
          </cell>
          <cell r="B77" t="str">
            <v>Per Diem</v>
          </cell>
          <cell r="C77">
            <v>1513</v>
          </cell>
        </row>
        <row r="78">
          <cell r="A78" t="str">
            <v>101-04-62400</v>
          </cell>
          <cell r="B78" t="str">
            <v>Professional Services</v>
          </cell>
          <cell r="C78">
            <v>485</v>
          </cell>
        </row>
        <row r="79">
          <cell r="A79" t="str">
            <v>101-04-62500</v>
          </cell>
          <cell r="B79" t="str">
            <v>Other Contr Svcs</v>
          </cell>
          <cell r="C79">
            <v>340</v>
          </cell>
        </row>
        <row r="80">
          <cell r="A80" t="str">
            <v>101-04-63100</v>
          </cell>
          <cell r="B80" t="str">
            <v>Supplies</v>
          </cell>
          <cell r="C80">
            <v>1321</v>
          </cell>
        </row>
        <row r="81">
          <cell r="A81" t="str">
            <v>101-04-63700</v>
          </cell>
          <cell r="B81" t="str">
            <v>Water</v>
          </cell>
          <cell r="C81">
            <v>421</v>
          </cell>
        </row>
        <row r="82">
          <cell r="A82" t="str">
            <v>101-04-70800</v>
          </cell>
          <cell r="B82" t="str">
            <v>Postage &amp; Mail Services</v>
          </cell>
          <cell r="C82">
            <v>500</v>
          </cell>
        </row>
        <row r="83">
          <cell r="A83" t="str">
            <v>101-04-70900</v>
          </cell>
          <cell r="B83" t="str">
            <v>Printing/Publishing/Advertising</v>
          </cell>
          <cell r="C83">
            <v>62</v>
          </cell>
        </row>
        <row r="84">
          <cell r="A84" t="str">
            <v>101-04-71300</v>
          </cell>
          <cell r="B84" t="str">
            <v>Subscriptions/Dues</v>
          </cell>
          <cell r="C84">
            <v>0</v>
          </cell>
        </row>
        <row r="85">
          <cell r="A85" t="str">
            <v>101-04-71600</v>
          </cell>
          <cell r="B85" t="str">
            <v>Telephone</v>
          </cell>
          <cell r="C85">
            <v>2377</v>
          </cell>
        </row>
        <row r="86">
          <cell r="A86" t="str">
            <v>101-04-72000</v>
          </cell>
          <cell r="B86" t="str">
            <v>Bank Charges/Credit Card Fees</v>
          </cell>
          <cell r="C86">
            <v>0</v>
          </cell>
        </row>
        <row r="87">
          <cell r="A87" t="str">
            <v>101-05-50200</v>
          </cell>
          <cell r="B87" t="str">
            <v>Full Time Exempt</v>
          </cell>
          <cell r="C87">
            <v>46720</v>
          </cell>
        </row>
        <row r="88">
          <cell r="A88" t="str">
            <v>101-05-50201</v>
          </cell>
          <cell r="B88" t="str">
            <v>Full Time Classified</v>
          </cell>
          <cell r="C88">
            <v>287154</v>
          </cell>
        </row>
        <row r="89">
          <cell r="A89" t="str">
            <v>101-05-50230</v>
          </cell>
          <cell r="B89" t="str">
            <v>Overtime FT Class Police</v>
          </cell>
          <cell r="C89">
            <v>18833</v>
          </cell>
        </row>
        <row r="90">
          <cell r="A90" t="str">
            <v>101-05-50300</v>
          </cell>
          <cell r="B90" t="str">
            <v>FICA-Medicare</v>
          </cell>
          <cell r="C90">
            <v>4642</v>
          </cell>
        </row>
        <row r="91">
          <cell r="A91" t="str">
            <v>101-05-50310</v>
          </cell>
          <cell r="B91" t="str">
            <v>State Unemployment</v>
          </cell>
          <cell r="C91">
            <v>10417</v>
          </cell>
        </row>
        <row r="92">
          <cell r="A92" t="str">
            <v>101-05-50320</v>
          </cell>
          <cell r="B92" t="str">
            <v>Retirement Contributions</v>
          </cell>
          <cell r="C92">
            <v>36091</v>
          </cell>
        </row>
        <row r="93">
          <cell r="A93" t="str">
            <v>101-05-50335</v>
          </cell>
          <cell r="B93" t="str">
            <v>Workers Comp Fee</v>
          </cell>
          <cell r="C93">
            <v>94</v>
          </cell>
        </row>
        <row r="94">
          <cell r="A94" t="str">
            <v>101-05-50340</v>
          </cell>
          <cell r="B94" t="str">
            <v>Health Care</v>
          </cell>
          <cell r="C94">
            <v>67637</v>
          </cell>
        </row>
        <row r="95">
          <cell r="A95" t="str">
            <v>101-05-60102</v>
          </cell>
          <cell r="B95" t="str">
            <v>Conf. Registrations</v>
          </cell>
          <cell r="C95">
            <v>890</v>
          </cell>
        </row>
        <row r="96">
          <cell r="A96" t="str">
            <v>101-05-60110</v>
          </cell>
          <cell r="B96" t="str">
            <v>Per Diem</v>
          </cell>
          <cell r="C96">
            <v>307</v>
          </cell>
        </row>
        <row r="97">
          <cell r="A97" t="str">
            <v>101-05-61110</v>
          </cell>
          <cell r="B97" t="str">
            <v>Maintenance Vehicle</v>
          </cell>
          <cell r="C97">
            <v>8260</v>
          </cell>
        </row>
        <row r="98">
          <cell r="A98" t="str">
            <v>101-05-62400</v>
          </cell>
          <cell r="B98" t="str">
            <v>Professional Services</v>
          </cell>
          <cell r="C98">
            <v>1328</v>
          </cell>
        </row>
        <row r="99">
          <cell r="A99" t="str">
            <v>101-05-62600</v>
          </cell>
          <cell r="B99" t="str">
            <v>Medical/Psych Tests</v>
          </cell>
          <cell r="C99">
            <v>163</v>
          </cell>
        </row>
        <row r="100">
          <cell r="A100" t="str">
            <v>101-05-63100</v>
          </cell>
          <cell r="B100" t="str">
            <v>Supplies</v>
          </cell>
          <cell r="C100">
            <v>5282</v>
          </cell>
        </row>
        <row r="101">
          <cell r="A101" t="str">
            <v>101-05-63400</v>
          </cell>
          <cell r="B101" t="str">
            <v>Uniforms</v>
          </cell>
          <cell r="C101">
            <v>873</v>
          </cell>
        </row>
        <row r="102">
          <cell r="A102" t="str">
            <v>101-05-63600</v>
          </cell>
          <cell r="B102" t="str">
            <v>Ammunition</v>
          </cell>
          <cell r="C102">
            <v>1530</v>
          </cell>
        </row>
        <row r="103">
          <cell r="A103" t="str">
            <v>101-05-70200</v>
          </cell>
          <cell r="B103" t="str">
            <v>Dispatch Services/MVRDA</v>
          </cell>
          <cell r="C103">
            <v>72857</v>
          </cell>
        </row>
        <row r="104">
          <cell r="A104" t="str">
            <v>101-05-70300</v>
          </cell>
          <cell r="B104" t="str">
            <v>Care of Prisioners</v>
          </cell>
          <cell r="C104">
            <v>14678</v>
          </cell>
        </row>
        <row r="105">
          <cell r="A105" t="str">
            <v>101-05-70800</v>
          </cell>
          <cell r="B105" t="str">
            <v>Postage &amp; Mail Services</v>
          </cell>
          <cell r="C105">
            <v>500</v>
          </cell>
        </row>
        <row r="106">
          <cell r="A106" t="str">
            <v>101-05-70900</v>
          </cell>
          <cell r="B106" t="str">
            <v>Printing/Publishing/Advertising</v>
          </cell>
          <cell r="C106">
            <v>220</v>
          </cell>
        </row>
        <row r="107">
          <cell r="A107" t="str">
            <v>101-05-71200</v>
          </cell>
          <cell r="B107" t="str">
            <v>Rent of Equipment/Machinery</v>
          </cell>
          <cell r="C107">
            <v>1544</v>
          </cell>
        </row>
        <row r="108">
          <cell r="A108" t="str">
            <v>101-05-71300</v>
          </cell>
          <cell r="B108" t="str">
            <v>Subscriptions/Dues</v>
          </cell>
          <cell r="C108">
            <v>75</v>
          </cell>
        </row>
        <row r="109">
          <cell r="A109" t="str">
            <v>101-05-71500</v>
          </cell>
          <cell r="B109" t="str">
            <v>Fuel</v>
          </cell>
          <cell r="C109">
            <v>21416</v>
          </cell>
        </row>
        <row r="110">
          <cell r="A110" t="str">
            <v>101-05-71600</v>
          </cell>
          <cell r="B110" t="str">
            <v>Telephone</v>
          </cell>
          <cell r="C110">
            <v>2452</v>
          </cell>
        </row>
        <row r="111">
          <cell r="A111" t="str">
            <v>101-06-62400</v>
          </cell>
          <cell r="B111" t="str">
            <v>Professional Services</v>
          </cell>
          <cell r="C111">
            <v>29786</v>
          </cell>
        </row>
        <row r="112">
          <cell r="A112" t="str">
            <v>101-07-61100</v>
          </cell>
          <cell r="B112" t="str">
            <v>Maintenance Building/Structure</v>
          </cell>
          <cell r="C112">
            <v>4867</v>
          </cell>
        </row>
        <row r="113">
          <cell r="A113" t="str">
            <v>101-07-63100</v>
          </cell>
          <cell r="B113" t="str">
            <v>Supplies</v>
          </cell>
          <cell r="C113">
            <v>0</v>
          </cell>
        </row>
        <row r="114">
          <cell r="A114" t="str">
            <v>101-07-71700</v>
          </cell>
          <cell r="B114" t="str">
            <v>Utilities</v>
          </cell>
          <cell r="C114">
            <v>20984</v>
          </cell>
        </row>
        <row r="115">
          <cell r="A115" t="str">
            <v>101-07-91200</v>
          </cell>
          <cell r="B115" t="str">
            <v>Cap Equip &amp; Mach</v>
          </cell>
          <cell r="C115">
            <v>12000</v>
          </cell>
        </row>
        <row r="116">
          <cell r="A116" t="str">
            <v>101-08-50201</v>
          </cell>
          <cell r="B116" t="str">
            <v>Full Time Classified</v>
          </cell>
          <cell r="C116">
            <v>120836</v>
          </cell>
        </row>
        <row r="117">
          <cell r="A117" t="str">
            <v>101-08-50230</v>
          </cell>
          <cell r="B117" t="str">
            <v>Overtime Full Time Classified</v>
          </cell>
          <cell r="C117">
            <v>4248</v>
          </cell>
        </row>
        <row r="118">
          <cell r="A118" t="str">
            <v>101-08-50300</v>
          </cell>
          <cell r="B118" t="str">
            <v>FICA-Medicare</v>
          </cell>
          <cell r="C118">
            <v>1595</v>
          </cell>
        </row>
        <row r="119">
          <cell r="A119" t="str">
            <v>101-08-50310</v>
          </cell>
          <cell r="B119" t="str">
            <v>State Unemployment</v>
          </cell>
          <cell r="C119">
            <v>5168</v>
          </cell>
        </row>
        <row r="120">
          <cell r="A120" t="str">
            <v>101-08-50320</v>
          </cell>
          <cell r="B120" t="str">
            <v>Retirement Contributions</v>
          </cell>
          <cell r="C120">
            <v>8798</v>
          </cell>
        </row>
        <row r="121">
          <cell r="A121" t="str">
            <v>101-08-50335</v>
          </cell>
          <cell r="B121" t="str">
            <v>Workers Comp Fee</v>
          </cell>
          <cell r="C121">
            <v>46</v>
          </cell>
        </row>
        <row r="122">
          <cell r="A122" t="str">
            <v>101-08-50340</v>
          </cell>
          <cell r="B122" t="str">
            <v>Health Care</v>
          </cell>
          <cell r="C122">
            <v>12026</v>
          </cell>
        </row>
        <row r="123">
          <cell r="A123" t="str">
            <v>101-08-60102</v>
          </cell>
          <cell r="B123" t="str">
            <v>Conf. Registrations</v>
          </cell>
          <cell r="C123">
            <v>185</v>
          </cell>
        </row>
        <row r="124">
          <cell r="A124" t="str">
            <v>101-08-60110</v>
          </cell>
          <cell r="B124" t="str">
            <v>Per Diem</v>
          </cell>
          <cell r="C124">
            <v>1137</v>
          </cell>
        </row>
        <row r="125">
          <cell r="A125" t="str">
            <v>101-08-61110</v>
          </cell>
          <cell r="B125" t="str">
            <v>Maintenance Vehicle</v>
          </cell>
          <cell r="C125">
            <v>6420</v>
          </cell>
        </row>
        <row r="126">
          <cell r="A126" t="str">
            <v>101-08-61300</v>
          </cell>
          <cell r="B126" t="str">
            <v>Maintenance Grounds/Roadways</v>
          </cell>
          <cell r="C126">
            <v>25577</v>
          </cell>
        </row>
        <row r="127">
          <cell r="A127" t="str">
            <v>101-08-63100</v>
          </cell>
          <cell r="B127" t="str">
            <v>Supplies</v>
          </cell>
          <cell r="C127">
            <v>6445</v>
          </cell>
        </row>
        <row r="128">
          <cell r="A128" t="str">
            <v>101-08-63300</v>
          </cell>
          <cell r="B128" t="str">
            <v>Safety Equipment</v>
          </cell>
          <cell r="C128">
            <v>0</v>
          </cell>
        </row>
        <row r="129">
          <cell r="A129" t="str">
            <v>101-08-63400</v>
          </cell>
          <cell r="B129" t="str">
            <v>Uniforms</v>
          </cell>
          <cell r="C129">
            <v>1951</v>
          </cell>
        </row>
        <row r="130">
          <cell r="A130" t="str">
            <v>101-08-71200</v>
          </cell>
          <cell r="B130" t="str">
            <v>Rent of Equipment/Machinery</v>
          </cell>
          <cell r="C130">
            <v>0</v>
          </cell>
        </row>
        <row r="131">
          <cell r="A131" t="str">
            <v>101-08-71701</v>
          </cell>
          <cell r="B131" t="str">
            <v>Utilities (Street Lights)</v>
          </cell>
          <cell r="C131">
            <v>40376</v>
          </cell>
        </row>
        <row r="132">
          <cell r="A132" t="str">
            <v>101-08-91100</v>
          </cell>
          <cell r="B132" t="str">
            <v>Equipment/Machinery</v>
          </cell>
          <cell r="C132">
            <v>0</v>
          </cell>
        </row>
        <row r="133">
          <cell r="A133" t="str">
            <v>101-08-91200</v>
          </cell>
          <cell r="B133" t="str">
            <v>Cap Equip - Tractor Mower</v>
          </cell>
          <cell r="C133">
            <v>29570</v>
          </cell>
        </row>
        <row r="134">
          <cell r="A134" t="str">
            <v>101-08-91400</v>
          </cell>
          <cell r="B134" t="str">
            <v>Community Assistance Expense</v>
          </cell>
          <cell r="C134">
            <v>0</v>
          </cell>
        </row>
        <row r="135">
          <cell r="A135" t="str">
            <v>101-09-50201</v>
          </cell>
          <cell r="B135" t="str">
            <v>Full Time Classified</v>
          </cell>
          <cell r="C135">
            <v>26339</v>
          </cell>
        </row>
        <row r="136">
          <cell r="A136" t="str">
            <v>101-09-50300</v>
          </cell>
          <cell r="B136" t="str">
            <v>FICA-Medicare</v>
          </cell>
          <cell r="C136">
            <v>1430</v>
          </cell>
        </row>
        <row r="137">
          <cell r="A137" t="str">
            <v>101-09-50310</v>
          </cell>
          <cell r="B137" t="str">
            <v>State Unemployment</v>
          </cell>
          <cell r="C137">
            <v>949</v>
          </cell>
        </row>
        <row r="138">
          <cell r="A138" t="str">
            <v>101-09-50320</v>
          </cell>
          <cell r="B138" t="str">
            <v>Retirement Contributions</v>
          </cell>
          <cell r="C138">
            <v>2001</v>
          </cell>
        </row>
        <row r="139">
          <cell r="A139" t="str">
            <v>101-09-50335</v>
          </cell>
          <cell r="B139" t="str">
            <v>Workers Comp Fee</v>
          </cell>
          <cell r="C139">
            <v>24</v>
          </cell>
        </row>
        <row r="140">
          <cell r="A140" t="str">
            <v>101-09-50340</v>
          </cell>
          <cell r="B140" t="str">
            <v>Health Care</v>
          </cell>
          <cell r="C140">
            <v>2357</v>
          </cell>
        </row>
        <row r="141">
          <cell r="A141" t="str">
            <v>101-09-60102</v>
          </cell>
          <cell r="B141" t="str">
            <v>Conf. Registrations</v>
          </cell>
          <cell r="C141">
            <v>1911</v>
          </cell>
        </row>
        <row r="142">
          <cell r="A142" t="str">
            <v>101-09-60110</v>
          </cell>
          <cell r="B142" t="str">
            <v>Per Diem</v>
          </cell>
          <cell r="C142">
            <v>267</v>
          </cell>
        </row>
        <row r="143">
          <cell r="A143" t="str">
            <v>101-09-63100</v>
          </cell>
          <cell r="B143" t="str">
            <v>Supplies</v>
          </cell>
          <cell r="C143">
            <v>2500</v>
          </cell>
        </row>
        <row r="144">
          <cell r="A144" t="str">
            <v>101-09-63400</v>
          </cell>
          <cell r="B144" t="str">
            <v>Uniforms</v>
          </cell>
          <cell r="C144">
            <v>500</v>
          </cell>
        </row>
        <row r="145">
          <cell r="A145" t="str">
            <v>101-10-50201</v>
          </cell>
          <cell r="B145" t="str">
            <v>Full Time Classified</v>
          </cell>
          <cell r="C145">
            <v>36534</v>
          </cell>
        </row>
        <row r="146">
          <cell r="A146" t="str">
            <v>101-10-50202</v>
          </cell>
          <cell r="B146" t="str">
            <v>Part Time Classified</v>
          </cell>
          <cell r="C146">
            <v>24900</v>
          </cell>
        </row>
        <row r="147">
          <cell r="A147" t="str">
            <v>101-10-50300</v>
          </cell>
          <cell r="B147" t="str">
            <v>FICA-MEDICARE</v>
          </cell>
          <cell r="C147">
            <v>2550</v>
          </cell>
        </row>
        <row r="148">
          <cell r="A148" t="str">
            <v>101-10-50310</v>
          </cell>
          <cell r="B148" t="str">
            <v>State Unemployment</v>
          </cell>
          <cell r="C148">
            <v>2433</v>
          </cell>
        </row>
        <row r="149">
          <cell r="A149" t="str">
            <v>101-10-50320</v>
          </cell>
          <cell r="B149" t="str">
            <v>Retirement Contributions</v>
          </cell>
          <cell r="C149">
            <v>2567</v>
          </cell>
        </row>
        <row r="150">
          <cell r="A150" t="str">
            <v>101-10-50335</v>
          </cell>
          <cell r="B150" t="str">
            <v>Workers Comp Fee</v>
          </cell>
          <cell r="C150">
            <v>35</v>
          </cell>
        </row>
        <row r="151">
          <cell r="A151" t="str">
            <v>101-10-50340</v>
          </cell>
          <cell r="B151" t="str">
            <v>Health Care</v>
          </cell>
          <cell r="C151">
            <v>2476</v>
          </cell>
        </row>
        <row r="152">
          <cell r="A152" t="str">
            <v>101-10-61100</v>
          </cell>
          <cell r="B152" t="str">
            <v>Maintenance Building/Structure</v>
          </cell>
          <cell r="C152">
            <v>2365</v>
          </cell>
        </row>
        <row r="153">
          <cell r="A153" t="str">
            <v>101-10-62400</v>
          </cell>
          <cell r="B153" t="str">
            <v>Professional Services</v>
          </cell>
          <cell r="C153">
            <v>4995</v>
          </cell>
        </row>
        <row r="154">
          <cell r="A154" t="str">
            <v>101-10-63100</v>
          </cell>
          <cell r="B154" t="str">
            <v>Supplies</v>
          </cell>
          <cell r="C154">
            <v>1986</v>
          </cell>
        </row>
        <row r="155">
          <cell r="A155" t="str">
            <v>101-10-70900</v>
          </cell>
          <cell r="B155" t="str">
            <v>Printing/Publishing/Advertising</v>
          </cell>
          <cell r="C155">
            <v>0</v>
          </cell>
        </row>
        <row r="156">
          <cell r="A156" t="str">
            <v>101-10-71200</v>
          </cell>
          <cell r="B156" t="str">
            <v>Rent of Equipment/Printer Lease</v>
          </cell>
          <cell r="C156">
            <v>1665</v>
          </cell>
        </row>
        <row r="157">
          <cell r="A157" t="str">
            <v>101-10-71300</v>
          </cell>
          <cell r="B157" t="str">
            <v>Subscriptions/Dues</v>
          </cell>
          <cell r="C157">
            <v>252</v>
          </cell>
        </row>
        <row r="158">
          <cell r="A158" t="str">
            <v>101-10-71600</v>
          </cell>
          <cell r="B158" t="str">
            <v>Telephone</v>
          </cell>
          <cell r="C158">
            <v>4100</v>
          </cell>
        </row>
        <row r="159">
          <cell r="A159" t="str">
            <v>101-10-71700</v>
          </cell>
          <cell r="B159" t="str">
            <v>Utilities</v>
          </cell>
          <cell r="C159">
            <v>5585</v>
          </cell>
        </row>
        <row r="160">
          <cell r="A160" t="str">
            <v>101-10-91200</v>
          </cell>
          <cell r="B160" t="str">
            <v>Cap Equip &amp; Mach Exec</v>
          </cell>
          <cell r="C160">
            <v>6765</v>
          </cell>
        </row>
        <row r="161">
          <cell r="A161" t="str">
            <v>101-11-50201</v>
          </cell>
          <cell r="B161" t="str">
            <v>Full Time Classified</v>
          </cell>
          <cell r="C161">
            <v>29159</v>
          </cell>
        </row>
        <row r="162">
          <cell r="A162" t="str">
            <v>101-11-50230</v>
          </cell>
          <cell r="B162" t="str">
            <v>Overtime FT Class Animal Control</v>
          </cell>
          <cell r="C162">
            <v>0</v>
          </cell>
        </row>
        <row r="163">
          <cell r="A163" t="str">
            <v>101-11-50300</v>
          </cell>
          <cell r="B163" t="str">
            <v>FICA-Medicare</v>
          </cell>
          <cell r="C163">
            <v>419</v>
          </cell>
        </row>
        <row r="164">
          <cell r="A164" t="str">
            <v>101-11-50310</v>
          </cell>
          <cell r="B164" t="str">
            <v>Fed Unemployment</v>
          </cell>
          <cell r="C164">
            <v>1318</v>
          </cell>
        </row>
        <row r="165">
          <cell r="A165" t="str">
            <v>101-11-50320</v>
          </cell>
          <cell r="B165" t="str">
            <v>Retirement Contributions</v>
          </cell>
          <cell r="C165">
            <v>2149</v>
          </cell>
        </row>
        <row r="166">
          <cell r="A166" t="str">
            <v>101-11-50335</v>
          </cell>
          <cell r="B166" t="str">
            <v>Workers Comp Fee</v>
          </cell>
          <cell r="C166">
            <v>12</v>
          </cell>
        </row>
        <row r="167">
          <cell r="A167" t="str">
            <v>101-11-50340</v>
          </cell>
          <cell r="B167" t="str">
            <v>Health Care</v>
          </cell>
          <cell r="C167">
            <v>1291</v>
          </cell>
        </row>
        <row r="168">
          <cell r="A168" t="str">
            <v>101-11-60102</v>
          </cell>
          <cell r="B168" t="str">
            <v>Conf. Registrations</v>
          </cell>
          <cell r="C168">
            <v>35</v>
          </cell>
        </row>
        <row r="169">
          <cell r="A169" t="str">
            <v>101-11-60110</v>
          </cell>
          <cell r="B169" t="str">
            <v>Per Diem</v>
          </cell>
          <cell r="C169">
            <v>0</v>
          </cell>
        </row>
        <row r="170">
          <cell r="A170" t="str">
            <v>101-11-61120</v>
          </cell>
          <cell r="B170" t="str">
            <v>Animal Control Expense</v>
          </cell>
          <cell r="C170">
            <v>3150</v>
          </cell>
        </row>
        <row r="171">
          <cell r="A171" t="str">
            <v>101-11-63100</v>
          </cell>
          <cell r="B171" t="str">
            <v>Supplies</v>
          </cell>
          <cell r="C171">
            <v>2884</v>
          </cell>
        </row>
        <row r="172">
          <cell r="A172" t="str">
            <v>101-11-63400</v>
          </cell>
          <cell r="B172" t="str">
            <v>Uniforms</v>
          </cell>
          <cell r="C172">
            <v>316</v>
          </cell>
        </row>
        <row r="173">
          <cell r="A173" t="str">
            <v>101-12-71000</v>
          </cell>
          <cell r="B173" t="str">
            <v>Matching Funds/City Pledge</v>
          </cell>
          <cell r="C173">
            <v>0</v>
          </cell>
        </row>
        <row r="174">
          <cell r="A174" t="str">
            <v>101-13-50201</v>
          </cell>
          <cell r="B174" t="str">
            <v>Full Time Classified</v>
          </cell>
          <cell r="C174">
            <v>39748</v>
          </cell>
        </row>
        <row r="175">
          <cell r="A175" t="str">
            <v>101-13-50202</v>
          </cell>
          <cell r="B175" t="str">
            <v>Full Time Temporary</v>
          </cell>
          <cell r="C175">
            <v>85867</v>
          </cell>
        </row>
        <row r="176">
          <cell r="A176" t="str">
            <v>101-13-50300</v>
          </cell>
          <cell r="B176" t="str">
            <v>FICA-Medicare</v>
          </cell>
          <cell r="C176">
            <v>2584</v>
          </cell>
        </row>
        <row r="177">
          <cell r="A177" t="str">
            <v>101-13-50310</v>
          </cell>
          <cell r="B177" t="str">
            <v>Fed Unemployment</v>
          </cell>
          <cell r="C177">
            <v>4800</v>
          </cell>
        </row>
        <row r="178">
          <cell r="A178" t="str">
            <v>101-13-50320</v>
          </cell>
          <cell r="B178" t="str">
            <v>Retirement Contributions</v>
          </cell>
          <cell r="C178">
            <v>8606</v>
          </cell>
        </row>
        <row r="179">
          <cell r="A179" t="str">
            <v>101-13-50335</v>
          </cell>
          <cell r="B179" t="str">
            <v>Workers Comp Fee</v>
          </cell>
          <cell r="C179">
            <v>56</v>
          </cell>
        </row>
        <row r="180">
          <cell r="A180" t="str">
            <v>101-13-50340</v>
          </cell>
          <cell r="B180" t="str">
            <v>Health Care</v>
          </cell>
          <cell r="C180">
            <v>16130</v>
          </cell>
        </row>
        <row r="181">
          <cell r="A181" t="str">
            <v>101-13-60102</v>
          </cell>
          <cell r="B181" t="str">
            <v>Conf. Registrations</v>
          </cell>
          <cell r="C181">
            <v>0</v>
          </cell>
        </row>
        <row r="182">
          <cell r="A182" t="str">
            <v>101-13-60110</v>
          </cell>
          <cell r="B182" t="str">
            <v>Per Diem</v>
          </cell>
          <cell r="C182">
            <v>468</v>
          </cell>
        </row>
        <row r="183">
          <cell r="A183" t="str">
            <v>101-13-61100</v>
          </cell>
          <cell r="B183" t="str">
            <v>Maintenance Building/Structure</v>
          </cell>
          <cell r="C183">
            <v>0</v>
          </cell>
        </row>
        <row r="184">
          <cell r="A184" t="str">
            <v>101-13-61400</v>
          </cell>
          <cell r="B184" t="str">
            <v>OFFICE EQUIPMENT</v>
          </cell>
          <cell r="C184">
            <v>990</v>
          </cell>
        </row>
        <row r="185">
          <cell r="A185" t="str">
            <v>101-13-62400</v>
          </cell>
          <cell r="B185" t="str">
            <v>Professional Services</v>
          </cell>
          <cell r="C185">
            <v>2640</v>
          </cell>
        </row>
        <row r="186">
          <cell r="A186" t="str">
            <v>101-13-63100</v>
          </cell>
          <cell r="B186" t="str">
            <v>Supplies</v>
          </cell>
          <cell r="C186">
            <v>1679</v>
          </cell>
        </row>
        <row r="187">
          <cell r="A187" t="str">
            <v>101-13-63200</v>
          </cell>
          <cell r="B187" t="str">
            <v>Non Cap Equipment</v>
          </cell>
          <cell r="C187">
            <v>248</v>
          </cell>
        </row>
        <row r="188">
          <cell r="A188" t="str">
            <v>101-13-70800</v>
          </cell>
          <cell r="B188" t="str">
            <v>Postage &amp; Mail Services</v>
          </cell>
          <cell r="C188">
            <v>100</v>
          </cell>
        </row>
        <row r="189">
          <cell r="A189" t="str">
            <v>101-13-70900</v>
          </cell>
          <cell r="B189" t="str">
            <v>Printing/Publishing/Advertising</v>
          </cell>
          <cell r="C189">
            <v>0</v>
          </cell>
        </row>
        <row r="190">
          <cell r="A190" t="str">
            <v>101-13-71200</v>
          </cell>
          <cell r="B190" t="str">
            <v>Rent of Equipment/Machinery</v>
          </cell>
          <cell r="C190">
            <v>2075</v>
          </cell>
        </row>
        <row r="191">
          <cell r="A191" t="str">
            <v>101-13-71600</v>
          </cell>
          <cell r="B191" t="str">
            <v>Telephone</v>
          </cell>
          <cell r="C191">
            <v>4105</v>
          </cell>
        </row>
        <row r="192">
          <cell r="A192" t="str">
            <v>101-14-50201</v>
          </cell>
          <cell r="B192" t="str">
            <v>Full Time Classified</v>
          </cell>
          <cell r="C192">
            <v>57561</v>
          </cell>
        </row>
        <row r="193">
          <cell r="A193" t="str">
            <v>101-14-50300</v>
          </cell>
          <cell r="B193" t="str">
            <v>FICA-Medicare</v>
          </cell>
          <cell r="C193">
            <v>1132</v>
          </cell>
        </row>
        <row r="194">
          <cell r="A194" t="str">
            <v>101-14-50310</v>
          </cell>
          <cell r="B194" t="str">
            <v>Fed Unemployment</v>
          </cell>
          <cell r="C194">
            <v>2239</v>
          </cell>
        </row>
        <row r="195">
          <cell r="A195" t="str">
            <v>101-14-50320</v>
          </cell>
          <cell r="B195" t="str">
            <v>Retirement Contributions</v>
          </cell>
          <cell r="C195">
            <v>39132</v>
          </cell>
        </row>
        <row r="196">
          <cell r="A196" t="str">
            <v>101-14-50335</v>
          </cell>
          <cell r="B196" t="str">
            <v>Workers Comp Fee</v>
          </cell>
          <cell r="C196">
            <v>18</v>
          </cell>
        </row>
        <row r="197">
          <cell r="A197" t="str">
            <v>101-14-50340</v>
          </cell>
          <cell r="B197" t="str">
            <v>Health Care</v>
          </cell>
          <cell r="C197">
            <v>7284</v>
          </cell>
        </row>
        <row r="198">
          <cell r="A198" t="str">
            <v>101-14-60102</v>
          </cell>
          <cell r="B198" t="str">
            <v>Conf. Registrations</v>
          </cell>
          <cell r="C198">
            <v>1387</v>
          </cell>
        </row>
        <row r="199">
          <cell r="A199" t="str">
            <v>101-14-60110</v>
          </cell>
          <cell r="B199" t="str">
            <v>Per Diem</v>
          </cell>
          <cell r="C199">
            <v>953</v>
          </cell>
        </row>
        <row r="200">
          <cell r="A200" t="str">
            <v>101-14-62400</v>
          </cell>
          <cell r="B200" t="str">
            <v>Professional Services</v>
          </cell>
          <cell r="C200">
            <v>15561</v>
          </cell>
        </row>
        <row r="201">
          <cell r="A201" t="str">
            <v>101-14-63100</v>
          </cell>
          <cell r="B201" t="str">
            <v>Supplies</v>
          </cell>
          <cell r="C201">
            <v>970</v>
          </cell>
        </row>
        <row r="202">
          <cell r="A202" t="str">
            <v>101-14-63800</v>
          </cell>
          <cell r="B202" t="str">
            <v>IT Services</v>
          </cell>
          <cell r="C202">
            <v>230</v>
          </cell>
        </row>
        <row r="203">
          <cell r="A203" t="str">
            <v>101-14-72000</v>
          </cell>
          <cell r="B203" t="str">
            <v>Charges/Penalties/Fees</v>
          </cell>
          <cell r="C203">
            <v>8470</v>
          </cell>
        </row>
      </sheetData>
      <sheetData sheetId="10">
        <row r="1">
          <cell r="A1" t="str">
            <v>101-40000</v>
          </cell>
          <cell r="B1" t="str">
            <v>Motor Vehicle Registration Tax</v>
          </cell>
          <cell r="C1">
            <v>9942</v>
          </cell>
        </row>
        <row r="2">
          <cell r="A2" t="str">
            <v>101-40100</v>
          </cell>
          <cell r="B2" t="str">
            <v>Franchise Fees</v>
          </cell>
          <cell r="C2">
            <v>101770</v>
          </cell>
        </row>
        <row r="3">
          <cell r="A3" t="str">
            <v>101-40101</v>
          </cell>
          <cell r="B3" t="str">
            <v>Small Cities Assistance</v>
          </cell>
          <cell r="C3">
            <v>185155</v>
          </cell>
        </row>
        <row r="4">
          <cell r="A4" t="str">
            <v>101-40102</v>
          </cell>
          <cell r="B4" t="str">
            <v>FIREWORK FEES</v>
          </cell>
          <cell r="C4">
            <v>18782</v>
          </cell>
        </row>
        <row r="5">
          <cell r="A5" t="str">
            <v>101-41500</v>
          </cell>
          <cell r="B5" t="str">
            <v>GRT - Local</v>
          </cell>
          <cell r="C5">
            <v>532881</v>
          </cell>
        </row>
        <row r="6">
          <cell r="A6" t="str">
            <v>101-41510</v>
          </cell>
          <cell r="B6" t="str">
            <v>GRT INFRASTRUCTURE</v>
          </cell>
          <cell r="C6">
            <v>51911</v>
          </cell>
        </row>
        <row r="7">
          <cell r="A7" t="str">
            <v>101-41520</v>
          </cell>
          <cell r="B7" t="str">
            <v>GRT STATE</v>
          </cell>
          <cell r="C7">
            <v>557992</v>
          </cell>
        </row>
        <row r="8">
          <cell r="A8" t="str">
            <v>101-41530</v>
          </cell>
          <cell r="B8" t="str">
            <v>GRT INTERSTATE TELECOM</v>
          </cell>
          <cell r="C8">
            <v>1403</v>
          </cell>
        </row>
        <row r="9">
          <cell r="A9" t="str">
            <v>101-41540</v>
          </cell>
          <cell r="B9" t="str">
            <v>GRT MUNI EQUIV DIST</v>
          </cell>
          <cell r="C9">
            <v>4251</v>
          </cell>
        </row>
        <row r="10">
          <cell r="A10" t="str">
            <v>101-41600</v>
          </cell>
          <cell r="B10" t="str">
            <v>IRB CN Wire / VCST PILOT</v>
          </cell>
          <cell r="C10">
            <v>20862</v>
          </cell>
        </row>
        <row r="11">
          <cell r="A11" t="str">
            <v>101-41800</v>
          </cell>
          <cell r="B11" t="str">
            <v>Animal License Permits</v>
          </cell>
          <cell r="C11">
            <v>3026</v>
          </cell>
        </row>
        <row r="12">
          <cell r="A12" t="str">
            <v>101-42000</v>
          </cell>
          <cell r="B12" t="str">
            <v>Liquor License</v>
          </cell>
          <cell r="C12">
            <v>500</v>
          </cell>
        </row>
        <row r="13">
          <cell r="A13" t="str">
            <v>101-42200</v>
          </cell>
          <cell r="B13" t="str">
            <v>Business Application Permit</v>
          </cell>
          <cell r="C13">
            <v>4440</v>
          </cell>
        </row>
        <row r="14">
          <cell r="A14" t="str">
            <v>101-42201</v>
          </cell>
          <cell r="B14" t="str">
            <v>FOOD VENDOR PERMIT</v>
          </cell>
          <cell r="C14">
            <v>50</v>
          </cell>
        </row>
        <row r="15">
          <cell r="A15" t="str">
            <v>101-42202</v>
          </cell>
          <cell r="B15" t="str">
            <v>Event Permits</v>
          </cell>
          <cell r="C15">
            <v>50</v>
          </cell>
        </row>
        <row r="16">
          <cell r="A16" t="str">
            <v>101-43300</v>
          </cell>
          <cell r="B16" t="str">
            <v>Printing &amp; Copying Fees</v>
          </cell>
          <cell r="C16">
            <v>447</v>
          </cell>
        </row>
        <row r="17">
          <cell r="A17" t="str">
            <v>101-43302</v>
          </cell>
          <cell r="B17" t="str">
            <v>MVD FEES</v>
          </cell>
          <cell r="C17">
            <v>81624</v>
          </cell>
        </row>
        <row r="18">
          <cell r="A18" t="str">
            <v>101-43303</v>
          </cell>
          <cell r="B18" t="str">
            <v>Motor Vehicle Agent Allotment</v>
          </cell>
          <cell r="C18">
            <v>38178</v>
          </cell>
        </row>
        <row r="19">
          <cell r="A19" t="str">
            <v>101-44100</v>
          </cell>
          <cell r="B19" t="str">
            <v>Court Fines</v>
          </cell>
          <cell r="C19">
            <v>31396</v>
          </cell>
        </row>
        <row r="20">
          <cell r="A20" t="str">
            <v>101-48501</v>
          </cell>
          <cell r="B20" t="str">
            <v>FACILITIES RENTAL FEE</v>
          </cell>
          <cell r="C20">
            <v>309</v>
          </cell>
        </row>
        <row r="21">
          <cell r="A21" t="str">
            <v>101-48900</v>
          </cell>
          <cell r="B21" t="str">
            <v>Recreation Income</v>
          </cell>
          <cell r="C21">
            <v>161</v>
          </cell>
        </row>
        <row r="22">
          <cell r="A22" t="str">
            <v>101-48901</v>
          </cell>
          <cell r="B22" t="str">
            <v>RENT INCOME</v>
          </cell>
          <cell r="C22">
            <v>48456</v>
          </cell>
        </row>
        <row r="23">
          <cell r="A23" t="str">
            <v>101-51000</v>
          </cell>
          <cell r="B23" t="str">
            <v>TRANSFER IN</v>
          </cell>
          <cell r="C23">
            <v>3082</v>
          </cell>
        </row>
        <row r="24">
          <cell r="A24" t="str">
            <v>101-64700</v>
          </cell>
          <cell r="B24" t="str">
            <v>MISCELLANEOUS REVENUE</v>
          </cell>
          <cell r="C24">
            <v>1001</v>
          </cell>
        </row>
        <row r="25">
          <cell r="A25" t="str">
            <v>101-01-50100</v>
          </cell>
          <cell r="B25" t="str">
            <v>Elected Officials</v>
          </cell>
          <cell r="C25">
            <v>12550</v>
          </cell>
        </row>
        <row r="26">
          <cell r="A26" t="str">
            <v>101-01-50300</v>
          </cell>
          <cell r="B26" t="str">
            <v>FICA-Medicare</v>
          </cell>
          <cell r="C26">
            <v>961</v>
          </cell>
        </row>
        <row r="27">
          <cell r="A27" t="str">
            <v>101-01-50310</v>
          </cell>
          <cell r="B27" t="str">
            <v>State Unemployment</v>
          </cell>
          <cell r="C27">
            <v>10</v>
          </cell>
        </row>
        <row r="28">
          <cell r="A28" t="str">
            <v>101-01-50360</v>
          </cell>
          <cell r="B28" t="str">
            <v>Civil Liability Insurance</v>
          </cell>
          <cell r="C28">
            <v>21612</v>
          </cell>
        </row>
        <row r="29">
          <cell r="A29" t="str">
            <v>101-01-50370</v>
          </cell>
          <cell r="B29" t="str">
            <v>Workers Compensation Ins.</v>
          </cell>
          <cell r="C29">
            <v>25434</v>
          </cell>
        </row>
        <row r="30">
          <cell r="A30" t="str">
            <v>101-01-50380</v>
          </cell>
          <cell r="B30" t="str">
            <v>Property Insurance</v>
          </cell>
          <cell r="C30">
            <v>8689</v>
          </cell>
        </row>
        <row r="31">
          <cell r="A31" t="str">
            <v>101-01-50400</v>
          </cell>
          <cell r="B31" t="str">
            <v>Auto Liability Insurance</v>
          </cell>
          <cell r="C31">
            <v>9411</v>
          </cell>
        </row>
        <row r="32">
          <cell r="A32" t="str">
            <v>101-01-60100</v>
          </cell>
          <cell r="B32" t="str">
            <v>Mileage Reimbursement</v>
          </cell>
          <cell r="C32">
            <v>0</v>
          </cell>
        </row>
        <row r="33">
          <cell r="A33" t="str">
            <v>101-01-60102</v>
          </cell>
          <cell r="B33" t="str">
            <v>Conf. Registrations</v>
          </cell>
          <cell r="C33">
            <v>1488</v>
          </cell>
        </row>
        <row r="34">
          <cell r="A34" t="str">
            <v>101-01-60110</v>
          </cell>
          <cell r="B34" t="str">
            <v>Per Diem</v>
          </cell>
          <cell r="C34">
            <v>2077</v>
          </cell>
        </row>
        <row r="35">
          <cell r="A35" t="str">
            <v>101-01-62400</v>
          </cell>
          <cell r="B35" t="str">
            <v>Professional Services</v>
          </cell>
          <cell r="C35">
            <v>32704</v>
          </cell>
        </row>
        <row r="36">
          <cell r="A36" t="str">
            <v>101-01-62900</v>
          </cell>
          <cell r="B36" t="str">
            <v>Rent Expense</v>
          </cell>
          <cell r="C36">
            <v>48147</v>
          </cell>
        </row>
        <row r="37">
          <cell r="A37" t="str">
            <v>101-01-63100</v>
          </cell>
          <cell r="B37" t="str">
            <v>Supplies</v>
          </cell>
          <cell r="C37">
            <v>1252</v>
          </cell>
        </row>
        <row r="38">
          <cell r="A38" t="str">
            <v>101-01-63700</v>
          </cell>
          <cell r="B38" t="str">
            <v>Water</v>
          </cell>
          <cell r="C38">
            <v>319</v>
          </cell>
        </row>
        <row r="39">
          <cell r="A39" t="str">
            <v>101-01-70600</v>
          </cell>
          <cell r="B39" t="str">
            <v>Election Expenses - City Clerk</v>
          </cell>
          <cell r="C39">
            <v>350</v>
          </cell>
        </row>
        <row r="40">
          <cell r="A40" t="str">
            <v>101-01-70900</v>
          </cell>
          <cell r="B40" t="str">
            <v>Printing/Publishing/Advertising</v>
          </cell>
          <cell r="C40">
            <v>158</v>
          </cell>
        </row>
        <row r="41">
          <cell r="A41" t="str">
            <v>101-01-71300</v>
          </cell>
          <cell r="B41" t="str">
            <v>Subscriptions/Dues</v>
          </cell>
          <cell r="C41">
            <v>4992</v>
          </cell>
        </row>
        <row r="42">
          <cell r="A42" t="str">
            <v>101-01-71500</v>
          </cell>
          <cell r="B42" t="str">
            <v>Fuel</v>
          </cell>
          <cell r="C42">
            <v>7352</v>
          </cell>
        </row>
        <row r="43">
          <cell r="A43" t="str">
            <v>101-01-71600</v>
          </cell>
          <cell r="B43" t="str">
            <v>Telephone</v>
          </cell>
          <cell r="C43">
            <v>5683</v>
          </cell>
        </row>
        <row r="44">
          <cell r="A44" t="str">
            <v>101-01-71700</v>
          </cell>
          <cell r="B44" t="str">
            <v>Utilities</v>
          </cell>
          <cell r="C44">
            <v>30497</v>
          </cell>
        </row>
        <row r="45">
          <cell r="A45" t="str">
            <v>101-01-91200</v>
          </cell>
          <cell r="B45" t="str">
            <v>Cap Equip &amp; Mach</v>
          </cell>
          <cell r="C45">
            <v>107</v>
          </cell>
        </row>
        <row r="46">
          <cell r="A46" t="str">
            <v>101-01-91900</v>
          </cell>
          <cell r="B46" t="str">
            <v>Capital Outlay</v>
          </cell>
          <cell r="C46">
            <v>7919</v>
          </cell>
        </row>
        <row r="47">
          <cell r="A47" t="str">
            <v>101-02-50100</v>
          </cell>
          <cell r="B47" t="str">
            <v>Elected Officials</v>
          </cell>
          <cell r="C47">
            <v>13566</v>
          </cell>
        </row>
        <row r="48">
          <cell r="A48" t="str">
            <v>101-02-50300</v>
          </cell>
          <cell r="B48" t="str">
            <v>FICA-Medicare</v>
          </cell>
          <cell r="C48">
            <v>1052</v>
          </cell>
        </row>
        <row r="49">
          <cell r="A49" t="str">
            <v>101-02-60100</v>
          </cell>
          <cell r="B49" t="str">
            <v>Mileage Reimbursement</v>
          </cell>
          <cell r="C49">
            <v>0</v>
          </cell>
        </row>
        <row r="50">
          <cell r="A50" t="str">
            <v>101-02-60102</v>
          </cell>
          <cell r="B50" t="str">
            <v>Conf. Registrations</v>
          </cell>
          <cell r="C50">
            <v>2399</v>
          </cell>
        </row>
        <row r="51">
          <cell r="A51" t="str">
            <v>101-02-60110</v>
          </cell>
          <cell r="B51" t="str">
            <v>Per Diem</v>
          </cell>
          <cell r="C51">
            <v>2748</v>
          </cell>
        </row>
        <row r="52">
          <cell r="A52" t="str">
            <v>101-02-63100</v>
          </cell>
          <cell r="B52" t="str">
            <v>Supplies</v>
          </cell>
          <cell r="C52">
            <v>48</v>
          </cell>
        </row>
        <row r="53">
          <cell r="A53" t="str">
            <v>101-02-70900</v>
          </cell>
          <cell r="B53" t="str">
            <v>Printing/Publishing/Advertising</v>
          </cell>
          <cell r="C53">
            <v>0</v>
          </cell>
        </row>
        <row r="54">
          <cell r="A54" t="str">
            <v>101-02-71300</v>
          </cell>
          <cell r="B54" t="str">
            <v>Subscriptions/Dues</v>
          </cell>
          <cell r="C54">
            <v>105</v>
          </cell>
        </row>
        <row r="55">
          <cell r="A55" t="str">
            <v>101-03-50200</v>
          </cell>
          <cell r="B55" t="str">
            <v>Full Time Exempt</v>
          </cell>
          <cell r="C55">
            <v>44674</v>
          </cell>
        </row>
        <row r="56">
          <cell r="A56" t="str">
            <v>101-03-50201</v>
          </cell>
          <cell r="B56" t="str">
            <v>Full Time Classified</v>
          </cell>
          <cell r="C56">
            <v>92975</v>
          </cell>
        </row>
        <row r="57">
          <cell r="A57" t="str">
            <v>101-03-50300</v>
          </cell>
          <cell r="B57" t="str">
            <v>FICA-Medicare</v>
          </cell>
          <cell r="C57">
            <v>2862</v>
          </cell>
        </row>
        <row r="58">
          <cell r="A58" t="str">
            <v>101-03-50310</v>
          </cell>
          <cell r="B58" t="str">
            <v>State Unemployment</v>
          </cell>
          <cell r="C58">
            <v>3856</v>
          </cell>
        </row>
        <row r="59">
          <cell r="A59" t="str">
            <v>101-03-50320</v>
          </cell>
          <cell r="B59" t="str">
            <v>Retirement Contributions</v>
          </cell>
          <cell r="C59">
            <v>10170</v>
          </cell>
        </row>
        <row r="60">
          <cell r="A60" t="str">
            <v>101-03-50335</v>
          </cell>
          <cell r="B60" t="str">
            <v>Workers Comp Fee</v>
          </cell>
          <cell r="C60">
            <v>44</v>
          </cell>
        </row>
        <row r="61">
          <cell r="A61" t="str">
            <v>101-03-50340</v>
          </cell>
          <cell r="B61" t="str">
            <v>Health Care</v>
          </cell>
          <cell r="C61">
            <v>3139</v>
          </cell>
        </row>
        <row r="62">
          <cell r="A62" t="str">
            <v>101-03-60102</v>
          </cell>
          <cell r="B62" t="str">
            <v>Conf. Registrations</v>
          </cell>
          <cell r="C62">
            <v>1040</v>
          </cell>
        </row>
        <row r="63">
          <cell r="A63" t="str">
            <v>101-03-60110</v>
          </cell>
          <cell r="B63" t="str">
            <v>Per Diem</v>
          </cell>
          <cell r="C63">
            <v>3064</v>
          </cell>
        </row>
        <row r="64">
          <cell r="A64" t="str">
            <v>101-03-61110</v>
          </cell>
          <cell r="B64" t="str">
            <v>Office Equipment</v>
          </cell>
          <cell r="C64">
            <v>3009</v>
          </cell>
        </row>
        <row r="65">
          <cell r="A65" t="str">
            <v>101-03-62400</v>
          </cell>
          <cell r="B65" t="str">
            <v>Professional Services - Audit</v>
          </cell>
          <cell r="C65">
            <v>13696</v>
          </cell>
        </row>
        <row r="66">
          <cell r="A66" t="str">
            <v>101-03-63000</v>
          </cell>
          <cell r="B66" t="str">
            <v>Other Contractual Svcs - Tyler Maint</v>
          </cell>
          <cell r="C66">
            <v>20463</v>
          </cell>
        </row>
        <row r="67">
          <cell r="A67" t="str">
            <v>101-03-63100</v>
          </cell>
          <cell r="B67" t="str">
            <v>Supplies</v>
          </cell>
          <cell r="C67">
            <v>3465</v>
          </cell>
        </row>
        <row r="68">
          <cell r="A68" t="str">
            <v>101-03-63800</v>
          </cell>
          <cell r="B68" t="str">
            <v>IT Services</v>
          </cell>
          <cell r="C68">
            <v>2219</v>
          </cell>
        </row>
        <row r="69">
          <cell r="A69" t="str">
            <v>101-03-70600</v>
          </cell>
          <cell r="B69" t="str">
            <v>Election Expenses - City Clerk</v>
          </cell>
          <cell r="C69">
            <v>2703</v>
          </cell>
        </row>
        <row r="70">
          <cell r="A70" t="str">
            <v>101-03-70800</v>
          </cell>
          <cell r="B70" t="str">
            <v>Postage &amp; Mail Services</v>
          </cell>
          <cell r="C70">
            <v>1628</v>
          </cell>
        </row>
        <row r="71">
          <cell r="A71" t="str">
            <v>101-03-70900</v>
          </cell>
          <cell r="B71" t="str">
            <v>Printing/Publishing/Advertising</v>
          </cell>
          <cell r="C71">
            <v>1142</v>
          </cell>
        </row>
        <row r="72">
          <cell r="A72" t="str">
            <v>101-03-71200</v>
          </cell>
          <cell r="B72" t="str">
            <v>Rent of Equipmen Copier</v>
          </cell>
          <cell r="C72">
            <v>4652</v>
          </cell>
        </row>
        <row r="73">
          <cell r="A73" t="str">
            <v>101-03-71300</v>
          </cell>
          <cell r="B73" t="str">
            <v>Subscriptions/Dues</v>
          </cell>
          <cell r="C73">
            <v>110</v>
          </cell>
        </row>
        <row r="74">
          <cell r="A74" t="str">
            <v>101-03-71600</v>
          </cell>
          <cell r="B74" t="str">
            <v>Telephone</v>
          </cell>
          <cell r="C74">
            <v>5892</v>
          </cell>
        </row>
        <row r="75">
          <cell r="A75" t="str">
            <v>101-03-72000</v>
          </cell>
          <cell r="B75" t="str">
            <v>Bank Charge Fees</v>
          </cell>
          <cell r="C75">
            <v>457</v>
          </cell>
        </row>
        <row r="76">
          <cell r="A76" t="str">
            <v>101-03-91200</v>
          </cell>
          <cell r="B76" t="str">
            <v>Cap Equip &amp; Mach</v>
          </cell>
          <cell r="C76">
            <v>0</v>
          </cell>
        </row>
        <row r="77">
          <cell r="A77" t="str">
            <v>101-03-91900</v>
          </cell>
          <cell r="B77" t="str">
            <v>Capital Outlay</v>
          </cell>
          <cell r="C77">
            <v>207</v>
          </cell>
        </row>
        <row r="78">
          <cell r="A78" t="str">
            <v>101-04-50100</v>
          </cell>
          <cell r="B78" t="str">
            <v>Elected Officials</v>
          </cell>
          <cell r="C78">
            <v>9600</v>
          </cell>
        </row>
        <row r="79">
          <cell r="A79" t="str">
            <v>101-04-50201</v>
          </cell>
          <cell r="B79" t="str">
            <v>Full Time Classified</v>
          </cell>
          <cell r="C79">
            <v>27502</v>
          </cell>
        </row>
        <row r="80">
          <cell r="A80" t="str">
            <v>101-04-50202</v>
          </cell>
          <cell r="B80" t="str">
            <v>Part Time Classified</v>
          </cell>
          <cell r="C80">
            <v>22304</v>
          </cell>
        </row>
        <row r="81">
          <cell r="A81" t="str">
            <v>101-04-50300</v>
          </cell>
          <cell r="B81" t="str">
            <v>FICA-Medicare</v>
          </cell>
          <cell r="C81">
            <v>3053</v>
          </cell>
        </row>
        <row r="82">
          <cell r="A82" t="str">
            <v>101-04-50310</v>
          </cell>
          <cell r="B82" t="str">
            <v>State Unemployment</v>
          </cell>
          <cell r="C82">
            <v>1710</v>
          </cell>
        </row>
        <row r="83">
          <cell r="A83" t="str">
            <v>101-04-50320</v>
          </cell>
          <cell r="B83" t="str">
            <v>Retirement Contributions</v>
          </cell>
          <cell r="C83">
            <v>1765</v>
          </cell>
        </row>
        <row r="84">
          <cell r="A84" t="str">
            <v>101-04-50335</v>
          </cell>
          <cell r="B84" t="str">
            <v>Workers Comp Fee</v>
          </cell>
          <cell r="C84">
            <v>28</v>
          </cell>
        </row>
        <row r="85">
          <cell r="A85" t="str">
            <v>101-04-50340</v>
          </cell>
          <cell r="B85" t="str">
            <v>Health Care</v>
          </cell>
          <cell r="C85">
            <v>1977</v>
          </cell>
        </row>
        <row r="86">
          <cell r="A86" t="str">
            <v>101-04-60102</v>
          </cell>
          <cell r="B86" t="str">
            <v>Conf. Registrations</v>
          </cell>
          <cell r="C86">
            <v>395</v>
          </cell>
        </row>
        <row r="87">
          <cell r="A87" t="str">
            <v>101-04-60110</v>
          </cell>
          <cell r="B87" t="str">
            <v>Per Diem</v>
          </cell>
          <cell r="C87">
            <v>1698</v>
          </cell>
        </row>
        <row r="88">
          <cell r="A88" t="str">
            <v>101-04-62400</v>
          </cell>
          <cell r="B88" t="str">
            <v>Professional Services</v>
          </cell>
          <cell r="C88">
            <v>945</v>
          </cell>
        </row>
        <row r="89">
          <cell r="A89" t="str">
            <v>101-04-62500</v>
          </cell>
          <cell r="B89" t="str">
            <v>Other Contr Svcs</v>
          </cell>
          <cell r="C89">
            <v>3655</v>
          </cell>
        </row>
        <row r="90">
          <cell r="A90" t="str">
            <v>101-04-63100</v>
          </cell>
          <cell r="B90" t="str">
            <v>Supplies</v>
          </cell>
          <cell r="C90">
            <v>1809</v>
          </cell>
        </row>
        <row r="91">
          <cell r="A91" t="str">
            <v>101-04-63700</v>
          </cell>
          <cell r="B91" t="str">
            <v>Water</v>
          </cell>
          <cell r="C91">
            <v>306</v>
          </cell>
        </row>
        <row r="92">
          <cell r="A92" t="str">
            <v>101-04-70800</v>
          </cell>
          <cell r="B92" t="str">
            <v>Postage &amp; Mail Services</v>
          </cell>
          <cell r="C92">
            <v>754</v>
          </cell>
        </row>
        <row r="93">
          <cell r="A93" t="str">
            <v>101-04-70900</v>
          </cell>
          <cell r="B93" t="str">
            <v>Printing/Publishing/Advertising</v>
          </cell>
          <cell r="C93">
            <v>133</v>
          </cell>
        </row>
        <row r="94">
          <cell r="A94" t="str">
            <v>101-04-71300</v>
          </cell>
          <cell r="B94" t="str">
            <v>Subscriptions/Dues</v>
          </cell>
          <cell r="C94">
            <v>120</v>
          </cell>
        </row>
        <row r="95">
          <cell r="A95" t="str">
            <v>101-04-71600</v>
          </cell>
          <cell r="B95" t="str">
            <v>Telephone</v>
          </cell>
          <cell r="C95">
            <v>2866</v>
          </cell>
        </row>
        <row r="96">
          <cell r="A96" t="str">
            <v>101-04-72000</v>
          </cell>
          <cell r="B96" t="str">
            <v>Bank Charges/Credit Card Fees</v>
          </cell>
          <cell r="C96">
            <v>150</v>
          </cell>
        </row>
        <row r="97">
          <cell r="A97" t="str">
            <v>101-05-50200</v>
          </cell>
          <cell r="B97" t="str">
            <v>Full Time Exempt</v>
          </cell>
          <cell r="C97">
            <v>24394</v>
          </cell>
        </row>
        <row r="98">
          <cell r="A98" t="str">
            <v>101-05-50201</v>
          </cell>
          <cell r="B98" t="str">
            <v>Full Time Classified</v>
          </cell>
          <cell r="C98">
            <v>220445</v>
          </cell>
        </row>
        <row r="99">
          <cell r="A99" t="str">
            <v>101-05-50230</v>
          </cell>
          <cell r="B99" t="str">
            <v>Overtime FT Class Police</v>
          </cell>
          <cell r="C99">
            <v>14894</v>
          </cell>
        </row>
        <row r="100">
          <cell r="A100" t="str">
            <v>101-05-50300</v>
          </cell>
          <cell r="B100" t="str">
            <v>FICA-Medicare</v>
          </cell>
          <cell r="C100">
            <v>6196</v>
          </cell>
        </row>
        <row r="101">
          <cell r="A101" t="str">
            <v>101-05-50310</v>
          </cell>
          <cell r="B101" t="str">
            <v>State Unemployment</v>
          </cell>
          <cell r="C101">
            <v>6030</v>
          </cell>
        </row>
        <row r="102">
          <cell r="A102" t="str">
            <v>101-05-50320</v>
          </cell>
          <cell r="B102" t="str">
            <v>Retirement Contributions</v>
          </cell>
          <cell r="C102">
            <v>20087</v>
          </cell>
        </row>
        <row r="103">
          <cell r="A103" t="str">
            <v>101-05-50335</v>
          </cell>
          <cell r="B103" t="str">
            <v>Workers Comp Fee</v>
          </cell>
          <cell r="C103">
            <v>67</v>
          </cell>
        </row>
        <row r="104">
          <cell r="A104" t="str">
            <v>101-05-50340</v>
          </cell>
          <cell r="B104" t="str">
            <v>Health Care</v>
          </cell>
          <cell r="C104">
            <v>25566</v>
          </cell>
        </row>
        <row r="105">
          <cell r="A105" t="str">
            <v>101-05-60102</v>
          </cell>
          <cell r="B105" t="str">
            <v>Conf. Registrations</v>
          </cell>
          <cell r="C105">
            <v>293</v>
          </cell>
        </row>
        <row r="106">
          <cell r="A106" t="str">
            <v>101-05-60110</v>
          </cell>
          <cell r="B106" t="str">
            <v>Per Diem</v>
          </cell>
          <cell r="C106">
            <v>4083</v>
          </cell>
        </row>
        <row r="107">
          <cell r="A107" t="str">
            <v>101-05-61110</v>
          </cell>
          <cell r="B107" t="str">
            <v>Maintenance Vehicle</v>
          </cell>
          <cell r="C107">
            <v>5174</v>
          </cell>
        </row>
        <row r="108">
          <cell r="A108" t="str">
            <v>101-05-62400</v>
          </cell>
          <cell r="B108" t="str">
            <v>Professional Services</v>
          </cell>
          <cell r="C108">
            <v>6246</v>
          </cell>
        </row>
        <row r="109">
          <cell r="A109" t="str">
            <v>101-05-62600</v>
          </cell>
          <cell r="B109" t="str">
            <v>Medical/Psych Tests</v>
          </cell>
          <cell r="C109">
            <v>988</v>
          </cell>
        </row>
        <row r="110">
          <cell r="A110" t="str">
            <v>101-05-63100</v>
          </cell>
          <cell r="B110" t="str">
            <v>Supplies</v>
          </cell>
          <cell r="C110">
            <v>2042</v>
          </cell>
        </row>
        <row r="111">
          <cell r="A111" t="str">
            <v>101-05-63400</v>
          </cell>
          <cell r="B111" t="str">
            <v>Uniforms</v>
          </cell>
          <cell r="C111">
            <v>1706</v>
          </cell>
        </row>
        <row r="112">
          <cell r="A112" t="str">
            <v>101-05-63600</v>
          </cell>
          <cell r="B112" t="str">
            <v>Ammunition</v>
          </cell>
          <cell r="C112">
            <v>0</v>
          </cell>
        </row>
        <row r="113">
          <cell r="A113" t="str">
            <v>101-05-70200</v>
          </cell>
          <cell r="B113" t="str">
            <v>Dispatch Services/MVRDA</v>
          </cell>
          <cell r="C113">
            <v>83161</v>
          </cell>
        </row>
        <row r="114">
          <cell r="A114" t="str">
            <v>101-05-70300</v>
          </cell>
          <cell r="B114" t="str">
            <v>Care of Prisioners</v>
          </cell>
          <cell r="C114">
            <v>13247</v>
          </cell>
        </row>
        <row r="115">
          <cell r="A115" t="str">
            <v>101-05-70800</v>
          </cell>
          <cell r="B115" t="str">
            <v>Postage &amp; Mail Services</v>
          </cell>
          <cell r="C115">
            <v>114</v>
          </cell>
        </row>
        <row r="116">
          <cell r="A116" t="str">
            <v>101-05-70900</v>
          </cell>
          <cell r="B116" t="str">
            <v>Printing/Publishing/Advertising</v>
          </cell>
          <cell r="C116">
            <v>516</v>
          </cell>
        </row>
        <row r="117">
          <cell r="A117" t="str">
            <v>101-05-71200</v>
          </cell>
          <cell r="B117" t="str">
            <v>Rent of Equipment/Machinery</v>
          </cell>
          <cell r="C117">
            <v>695</v>
          </cell>
        </row>
        <row r="118">
          <cell r="A118" t="str">
            <v>101-05-71300</v>
          </cell>
          <cell r="B118" t="str">
            <v>Subscriptions/Dues</v>
          </cell>
          <cell r="C118">
            <v>0</v>
          </cell>
        </row>
        <row r="119">
          <cell r="A119" t="str">
            <v>101-05-71500</v>
          </cell>
          <cell r="B119" t="str">
            <v>Fuel</v>
          </cell>
          <cell r="C119">
            <v>14902</v>
          </cell>
        </row>
        <row r="120">
          <cell r="A120" t="str">
            <v>101-05-71600</v>
          </cell>
          <cell r="B120" t="str">
            <v>Telephone</v>
          </cell>
          <cell r="C120">
            <v>1975</v>
          </cell>
        </row>
        <row r="121">
          <cell r="A121" t="str">
            <v>101-05-91950</v>
          </cell>
          <cell r="B121" t="str">
            <v>Other Cap Purchase(Police Units)</v>
          </cell>
          <cell r="C121">
            <v>30000</v>
          </cell>
        </row>
        <row r="122">
          <cell r="A122" t="str">
            <v>101-06-62400</v>
          </cell>
          <cell r="B122" t="str">
            <v>Professional Services</v>
          </cell>
          <cell r="C122">
            <v>3221</v>
          </cell>
        </row>
        <row r="123">
          <cell r="A123" t="str">
            <v>101-06-91900</v>
          </cell>
          <cell r="B123" t="str">
            <v>Capital Outlay</v>
          </cell>
          <cell r="C123">
            <v>12287</v>
          </cell>
        </row>
        <row r="124">
          <cell r="A124" t="str">
            <v>101-07-61100</v>
          </cell>
          <cell r="B124" t="str">
            <v>Maintenance Building/Structure</v>
          </cell>
          <cell r="C124">
            <v>3108</v>
          </cell>
        </row>
        <row r="125">
          <cell r="A125" t="str">
            <v>101-07-63100</v>
          </cell>
          <cell r="B125" t="str">
            <v>Supplies</v>
          </cell>
          <cell r="C125">
            <v>888</v>
          </cell>
        </row>
        <row r="126">
          <cell r="A126" t="str">
            <v>101-07-63400</v>
          </cell>
          <cell r="B126" t="str">
            <v>Uniforms</v>
          </cell>
          <cell r="C126">
            <v>0</v>
          </cell>
        </row>
        <row r="127">
          <cell r="A127" t="str">
            <v>101-07-70000</v>
          </cell>
          <cell r="B127" t="str">
            <v>Recreation Expense</v>
          </cell>
          <cell r="C127">
            <v>0</v>
          </cell>
        </row>
        <row r="128">
          <cell r="A128" t="str">
            <v>101-07-70900</v>
          </cell>
          <cell r="B128" t="str">
            <v>Printing/Publishing/Advertising</v>
          </cell>
          <cell r="C128">
            <v>0</v>
          </cell>
        </row>
        <row r="129">
          <cell r="A129" t="str">
            <v>101-07-71700</v>
          </cell>
          <cell r="B129" t="str">
            <v>Utilities</v>
          </cell>
          <cell r="C129">
            <v>19020</v>
          </cell>
        </row>
        <row r="130">
          <cell r="A130" t="str">
            <v>101-07-91200</v>
          </cell>
          <cell r="B130" t="str">
            <v>Cap Equip &amp; Mach</v>
          </cell>
          <cell r="C130">
            <v>0</v>
          </cell>
        </row>
        <row r="131">
          <cell r="A131" t="str">
            <v>101-08-50201</v>
          </cell>
          <cell r="B131" t="str">
            <v>Full Time Classified</v>
          </cell>
          <cell r="C131">
            <v>91850</v>
          </cell>
        </row>
        <row r="132">
          <cell r="A132" t="str">
            <v>101-08-50230</v>
          </cell>
          <cell r="B132" t="str">
            <v>Overtime Full Time Classified</v>
          </cell>
          <cell r="C132">
            <v>1620</v>
          </cell>
        </row>
        <row r="133">
          <cell r="A133" t="str">
            <v>101-08-50300</v>
          </cell>
          <cell r="B133" t="str">
            <v>FICA-Medicare</v>
          </cell>
          <cell r="C133">
            <v>2186</v>
          </cell>
        </row>
        <row r="134">
          <cell r="A134" t="str">
            <v>101-08-50310</v>
          </cell>
          <cell r="B134" t="str">
            <v>State Unemployment</v>
          </cell>
          <cell r="C134">
            <v>2865</v>
          </cell>
        </row>
        <row r="135">
          <cell r="A135" t="str">
            <v>101-08-50320</v>
          </cell>
          <cell r="B135" t="str">
            <v>Retirement Contributions</v>
          </cell>
          <cell r="C135">
            <v>5640</v>
          </cell>
        </row>
        <row r="136">
          <cell r="A136" t="str">
            <v>101-08-50335</v>
          </cell>
          <cell r="B136" t="str">
            <v>Workers Comp Fee</v>
          </cell>
          <cell r="C136">
            <v>34</v>
          </cell>
        </row>
        <row r="137">
          <cell r="A137" t="str">
            <v>101-08-50340</v>
          </cell>
          <cell r="B137" t="str">
            <v>Health Care</v>
          </cell>
          <cell r="C137">
            <v>7569</v>
          </cell>
        </row>
        <row r="138">
          <cell r="A138" t="str">
            <v>101-08-60102</v>
          </cell>
          <cell r="B138" t="str">
            <v>Conf. Registrations</v>
          </cell>
          <cell r="C138">
            <v>530</v>
          </cell>
        </row>
        <row r="139">
          <cell r="A139" t="str">
            <v>101-08-60110</v>
          </cell>
          <cell r="B139" t="str">
            <v>Per Diem</v>
          </cell>
          <cell r="C139">
            <v>655</v>
          </cell>
        </row>
        <row r="140">
          <cell r="A140" t="str">
            <v>101-08-61110</v>
          </cell>
          <cell r="B140" t="str">
            <v>Maintenance Vehicle</v>
          </cell>
          <cell r="C140">
            <v>2558</v>
          </cell>
        </row>
        <row r="141">
          <cell r="A141" t="str">
            <v>101-08-61300</v>
          </cell>
          <cell r="B141" t="str">
            <v>Maintenance Grounds/Roadways</v>
          </cell>
          <cell r="C141">
            <v>12266</v>
          </cell>
        </row>
        <row r="142">
          <cell r="A142" t="str">
            <v>101-08-61800</v>
          </cell>
          <cell r="B142" t="str">
            <v>Other Maintenance</v>
          </cell>
          <cell r="C142">
            <v>0</v>
          </cell>
        </row>
        <row r="143">
          <cell r="A143" t="str">
            <v>101-08-63100</v>
          </cell>
          <cell r="B143" t="str">
            <v>Supplies</v>
          </cell>
          <cell r="C143">
            <v>4335</v>
          </cell>
        </row>
        <row r="144">
          <cell r="A144" t="str">
            <v>101-08-63200</v>
          </cell>
          <cell r="B144" t="str">
            <v>Non Cap Equipment</v>
          </cell>
          <cell r="C144">
            <v>65</v>
          </cell>
        </row>
        <row r="145">
          <cell r="A145" t="str">
            <v>101-08-63300</v>
          </cell>
          <cell r="B145" t="str">
            <v>Safety Equipment</v>
          </cell>
          <cell r="C145">
            <v>0</v>
          </cell>
        </row>
        <row r="146">
          <cell r="A146" t="str">
            <v>101-08-63400</v>
          </cell>
          <cell r="B146" t="str">
            <v>Uniforms</v>
          </cell>
          <cell r="C146">
            <v>332</v>
          </cell>
        </row>
        <row r="147">
          <cell r="A147" t="str">
            <v>101-08-71200</v>
          </cell>
          <cell r="B147" t="str">
            <v>Rent of Equipment/Machinery</v>
          </cell>
          <cell r="C147">
            <v>0</v>
          </cell>
        </row>
        <row r="148">
          <cell r="A148" t="str">
            <v>101-08-71701</v>
          </cell>
          <cell r="B148" t="str">
            <v>Utilities (Street Lights)</v>
          </cell>
          <cell r="C148">
            <v>26074</v>
          </cell>
        </row>
        <row r="149">
          <cell r="A149" t="str">
            <v>101-08-91100</v>
          </cell>
          <cell r="B149" t="str">
            <v>Equipment/Machinery</v>
          </cell>
          <cell r="C149">
            <v>0</v>
          </cell>
        </row>
        <row r="150">
          <cell r="A150" t="str">
            <v>101-08-91200</v>
          </cell>
          <cell r="B150" t="str">
            <v>Cap Equip - Tractor Mower</v>
          </cell>
          <cell r="C150">
            <v>12452</v>
          </cell>
        </row>
        <row r="151">
          <cell r="A151" t="str">
            <v>101-08-91400</v>
          </cell>
          <cell r="B151" t="str">
            <v>Community Assistance Expense</v>
          </cell>
          <cell r="C151">
            <v>1300</v>
          </cell>
        </row>
        <row r="152">
          <cell r="A152" t="str">
            <v>101-08-91900</v>
          </cell>
          <cell r="B152" t="str">
            <v>Capital Outlay</v>
          </cell>
          <cell r="C152">
            <v>7940</v>
          </cell>
        </row>
        <row r="153">
          <cell r="A153" t="str">
            <v>101-09-50201</v>
          </cell>
          <cell r="B153" t="str">
            <v>Full Time Classified</v>
          </cell>
          <cell r="C153">
            <v>14776</v>
          </cell>
        </row>
        <row r="154">
          <cell r="A154" t="str">
            <v>101-09-50300</v>
          </cell>
          <cell r="B154" t="str">
            <v>FICA-Medicare</v>
          </cell>
          <cell r="C154">
            <v>845</v>
          </cell>
        </row>
        <row r="155">
          <cell r="A155" t="str">
            <v>101-09-50310</v>
          </cell>
          <cell r="B155" t="str">
            <v>State Unemployment</v>
          </cell>
          <cell r="C155">
            <v>411</v>
          </cell>
        </row>
        <row r="156">
          <cell r="A156" t="str">
            <v>101-09-50320</v>
          </cell>
          <cell r="B156" t="str">
            <v>Retirement Contributions</v>
          </cell>
          <cell r="C156">
            <v>311</v>
          </cell>
        </row>
        <row r="157">
          <cell r="A157" t="str">
            <v>101-09-50335</v>
          </cell>
          <cell r="B157" t="str">
            <v>Workers Comp Fee</v>
          </cell>
          <cell r="C157">
            <v>4</v>
          </cell>
        </row>
        <row r="158">
          <cell r="A158" t="str">
            <v>101-09-50340</v>
          </cell>
          <cell r="B158" t="str">
            <v>Health Care</v>
          </cell>
          <cell r="C158">
            <v>920</v>
          </cell>
        </row>
        <row r="159">
          <cell r="A159" t="str">
            <v>101-09-60102</v>
          </cell>
          <cell r="B159" t="str">
            <v>Conf. Registrations</v>
          </cell>
          <cell r="C159">
            <v>0</v>
          </cell>
        </row>
        <row r="160">
          <cell r="A160" t="str">
            <v>101-09-60110</v>
          </cell>
          <cell r="B160" t="str">
            <v>Per Diem</v>
          </cell>
          <cell r="C160">
            <v>0</v>
          </cell>
        </row>
        <row r="161">
          <cell r="A161" t="str">
            <v>101-09-63100</v>
          </cell>
          <cell r="B161" t="str">
            <v>Supplies</v>
          </cell>
          <cell r="C161">
            <v>1061</v>
          </cell>
        </row>
        <row r="162">
          <cell r="A162" t="str">
            <v>101-09-63400</v>
          </cell>
          <cell r="B162" t="str">
            <v>Uniforms</v>
          </cell>
          <cell r="C162">
            <v>0</v>
          </cell>
        </row>
        <row r="163">
          <cell r="A163" t="str">
            <v>101-09-91200</v>
          </cell>
          <cell r="B163" t="str">
            <v>Cap Equip/Machinery</v>
          </cell>
          <cell r="C163">
            <v>0</v>
          </cell>
        </row>
        <row r="164">
          <cell r="A164" t="str">
            <v>101-10-50200</v>
          </cell>
          <cell r="B164" t="str">
            <v>Full Time Exempt</v>
          </cell>
          <cell r="C164">
            <v>-1</v>
          </cell>
        </row>
        <row r="165">
          <cell r="A165" t="str">
            <v>101-10-50201</v>
          </cell>
          <cell r="B165" t="str">
            <v>Full Time Classified</v>
          </cell>
          <cell r="C165">
            <v>38373</v>
          </cell>
        </row>
        <row r="166">
          <cell r="A166" t="str">
            <v>101-10-50202</v>
          </cell>
          <cell r="B166" t="str">
            <v>Part Time Classified</v>
          </cell>
          <cell r="C166">
            <v>13086</v>
          </cell>
        </row>
        <row r="167">
          <cell r="A167" t="str">
            <v>101-10-50300</v>
          </cell>
          <cell r="B167" t="str">
            <v>FICA-MEDICARE</v>
          </cell>
          <cell r="C167">
            <v>2069</v>
          </cell>
        </row>
        <row r="168">
          <cell r="A168" t="str">
            <v>101-10-50310</v>
          </cell>
          <cell r="B168" t="str">
            <v>State Unemployment</v>
          </cell>
          <cell r="C168">
            <v>1540</v>
          </cell>
        </row>
        <row r="169">
          <cell r="A169" t="str">
            <v>101-10-50320</v>
          </cell>
          <cell r="B169" t="str">
            <v>Retirement Contributions</v>
          </cell>
          <cell r="C169">
            <v>2228</v>
          </cell>
        </row>
        <row r="170">
          <cell r="A170" t="str">
            <v>101-10-50335</v>
          </cell>
          <cell r="B170" t="str">
            <v>Workers Comp Fee</v>
          </cell>
          <cell r="C170">
            <v>21</v>
          </cell>
        </row>
        <row r="171">
          <cell r="A171" t="str">
            <v>101-10-50340</v>
          </cell>
          <cell r="B171" t="str">
            <v>Health Care</v>
          </cell>
          <cell r="C171">
            <v>0</v>
          </cell>
        </row>
        <row r="172">
          <cell r="A172" t="str">
            <v>101-10-60102</v>
          </cell>
          <cell r="B172" t="str">
            <v>Conf. Registrations</v>
          </cell>
          <cell r="C172">
            <v>0</v>
          </cell>
        </row>
        <row r="173">
          <cell r="A173" t="str">
            <v>101-10-60110</v>
          </cell>
          <cell r="B173" t="str">
            <v>Per Diem</v>
          </cell>
          <cell r="C173">
            <v>0</v>
          </cell>
        </row>
        <row r="174">
          <cell r="A174" t="str">
            <v>101-10-61100</v>
          </cell>
          <cell r="B174" t="str">
            <v>Maintenance Building/Structure</v>
          </cell>
          <cell r="C174">
            <v>1947</v>
          </cell>
        </row>
        <row r="175">
          <cell r="A175" t="str">
            <v>101-10-62400</v>
          </cell>
          <cell r="B175" t="str">
            <v>Professional Services</v>
          </cell>
          <cell r="C175">
            <v>1598</v>
          </cell>
        </row>
        <row r="176">
          <cell r="A176" t="str">
            <v>101-10-63100</v>
          </cell>
          <cell r="B176" t="str">
            <v>Supplies</v>
          </cell>
          <cell r="C176">
            <v>1230</v>
          </cell>
        </row>
        <row r="177">
          <cell r="A177" t="str">
            <v>101-10-63500</v>
          </cell>
          <cell r="B177" t="str">
            <v>Minor Equip</v>
          </cell>
          <cell r="C177">
            <v>0</v>
          </cell>
        </row>
        <row r="178">
          <cell r="A178" t="str">
            <v>101-10-70800</v>
          </cell>
          <cell r="B178" t="str">
            <v>Postage &amp; Mail Svcs</v>
          </cell>
          <cell r="C178">
            <v>299</v>
          </cell>
        </row>
        <row r="179">
          <cell r="A179" t="str">
            <v>101-10-70900</v>
          </cell>
          <cell r="B179" t="str">
            <v>Printing/Publishing/Advertising</v>
          </cell>
          <cell r="C179">
            <v>0</v>
          </cell>
        </row>
        <row r="180">
          <cell r="A180" t="str">
            <v>101-10-71200</v>
          </cell>
          <cell r="B180" t="str">
            <v>Rent of Equipment/Printer Lease</v>
          </cell>
          <cell r="C180">
            <v>1789</v>
          </cell>
        </row>
        <row r="181">
          <cell r="A181" t="str">
            <v>101-10-71300</v>
          </cell>
          <cell r="B181" t="str">
            <v>Subscriptions/Dues</v>
          </cell>
          <cell r="C181">
            <v>250</v>
          </cell>
        </row>
        <row r="182">
          <cell r="A182" t="str">
            <v>101-10-71600</v>
          </cell>
          <cell r="B182" t="str">
            <v>Telephone</v>
          </cell>
          <cell r="C182">
            <v>4003</v>
          </cell>
        </row>
        <row r="183">
          <cell r="A183" t="str">
            <v>101-10-71700</v>
          </cell>
          <cell r="B183" t="str">
            <v>Utilities</v>
          </cell>
          <cell r="C183">
            <v>5594</v>
          </cell>
        </row>
        <row r="184">
          <cell r="A184" t="str">
            <v>101-11-50201</v>
          </cell>
          <cell r="B184" t="str">
            <v>Full Time Classified</v>
          </cell>
          <cell r="C184">
            <v>21454</v>
          </cell>
        </row>
        <row r="185">
          <cell r="A185" t="str">
            <v>101-11-50230</v>
          </cell>
          <cell r="B185" t="str">
            <v>Overtime FT Class Animal Control</v>
          </cell>
          <cell r="C185">
            <v>16</v>
          </cell>
        </row>
        <row r="186">
          <cell r="A186" t="str">
            <v>101-11-50300</v>
          </cell>
          <cell r="B186" t="str">
            <v>FICA-Medicare</v>
          </cell>
          <cell r="C186">
            <v>311</v>
          </cell>
        </row>
        <row r="187">
          <cell r="A187" t="str">
            <v>101-11-50310</v>
          </cell>
          <cell r="B187" t="str">
            <v>Fed Unemployment</v>
          </cell>
          <cell r="C187">
            <v>746</v>
          </cell>
        </row>
        <row r="188">
          <cell r="A188" t="str">
            <v>101-11-50320</v>
          </cell>
          <cell r="B188" t="str">
            <v>Retirement Contributions</v>
          </cell>
          <cell r="C188">
            <v>1563</v>
          </cell>
        </row>
        <row r="189">
          <cell r="A189" t="str">
            <v>101-11-50335</v>
          </cell>
          <cell r="B189" t="str">
            <v>Workers Comp Fee</v>
          </cell>
          <cell r="C189">
            <v>10</v>
          </cell>
        </row>
        <row r="190">
          <cell r="A190" t="str">
            <v>101-11-50340</v>
          </cell>
          <cell r="B190" t="str">
            <v>Health Care</v>
          </cell>
          <cell r="C190">
            <v>0</v>
          </cell>
        </row>
        <row r="191">
          <cell r="A191" t="str">
            <v>101-11-60102</v>
          </cell>
          <cell r="B191" t="str">
            <v>Conf. Registrations</v>
          </cell>
          <cell r="C191">
            <v>1050</v>
          </cell>
        </row>
        <row r="192">
          <cell r="A192" t="str">
            <v>101-11-60110</v>
          </cell>
          <cell r="B192" t="str">
            <v>Per Diem</v>
          </cell>
          <cell r="C192">
            <v>1752</v>
          </cell>
        </row>
        <row r="193">
          <cell r="A193" t="str">
            <v>101-11-61120</v>
          </cell>
          <cell r="B193" t="str">
            <v>Animal Control Expense</v>
          </cell>
          <cell r="C193">
            <v>6764</v>
          </cell>
        </row>
        <row r="194">
          <cell r="A194" t="str">
            <v>101-11-63100</v>
          </cell>
          <cell r="B194" t="str">
            <v>Supplies</v>
          </cell>
          <cell r="C194">
            <v>1258</v>
          </cell>
        </row>
        <row r="195">
          <cell r="A195" t="str">
            <v>101-11-63400</v>
          </cell>
          <cell r="B195" t="str">
            <v>Uniforms</v>
          </cell>
          <cell r="C195">
            <v>141</v>
          </cell>
        </row>
        <row r="196">
          <cell r="A196" t="str">
            <v>101-11-91200</v>
          </cell>
          <cell r="B196" t="str">
            <v>Cap Equip &amp; Mach Exec</v>
          </cell>
          <cell r="C196">
            <v>24019</v>
          </cell>
        </row>
        <row r="197">
          <cell r="A197" t="str">
            <v>101-12-71000</v>
          </cell>
          <cell r="B197" t="str">
            <v>Matching Funds/City Pledge</v>
          </cell>
          <cell r="C197">
            <v>0</v>
          </cell>
        </row>
        <row r="198">
          <cell r="A198" t="str">
            <v>101-12-91900</v>
          </cell>
          <cell r="B198" t="str">
            <v>Capital Outlay</v>
          </cell>
          <cell r="C198">
            <v>53266</v>
          </cell>
        </row>
        <row r="199">
          <cell r="A199" t="str">
            <v>101-13-50201</v>
          </cell>
          <cell r="B199" t="str">
            <v>Full Time Classified</v>
          </cell>
          <cell r="C199">
            <v>11154</v>
          </cell>
        </row>
        <row r="200">
          <cell r="A200" t="str">
            <v>101-13-50202</v>
          </cell>
          <cell r="B200" t="str">
            <v>Full Time Temporary</v>
          </cell>
          <cell r="C200">
            <v>50444</v>
          </cell>
        </row>
        <row r="201">
          <cell r="A201" t="str">
            <v>101-13-50300</v>
          </cell>
          <cell r="B201" t="str">
            <v>FICA-Medicare</v>
          </cell>
          <cell r="C201">
            <v>3113</v>
          </cell>
        </row>
        <row r="202">
          <cell r="A202" t="str">
            <v>101-13-50310</v>
          </cell>
          <cell r="B202" t="str">
            <v>Fed Unemployment</v>
          </cell>
          <cell r="C202">
            <v>1703</v>
          </cell>
        </row>
        <row r="203">
          <cell r="A203" t="str">
            <v>101-13-50320</v>
          </cell>
          <cell r="B203" t="str">
            <v>Retirement Contributions</v>
          </cell>
          <cell r="C203">
            <v>825</v>
          </cell>
        </row>
        <row r="204">
          <cell r="A204" t="str">
            <v>101-13-50335</v>
          </cell>
          <cell r="B204" t="str">
            <v>Workers Comp Fee</v>
          </cell>
          <cell r="C204">
            <v>19</v>
          </cell>
        </row>
        <row r="205">
          <cell r="A205" t="str">
            <v>101-13-50340</v>
          </cell>
          <cell r="B205" t="str">
            <v>Health Care</v>
          </cell>
          <cell r="C205">
            <v>1360</v>
          </cell>
        </row>
        <row r="206">
          <cell r="A206" t="str">
            <v>101-13-50370</v>
          </cell>
          <cell r="B206" t="str">
            <v>Workers Compensation Ins.</v>
          </cell>
          <cell r="C206">
            <v>0</v>
          </cell>
        </row>
        <row r="207">
          <cell r="A207" t="str">
            <v>101-13-60102</v>
          </cell>
          <cell r="B207" t="str">
            <v>Conf. Registrations</v>
          </cell>
          <cell r="C207">
            <v>35</v>
          </cell>
        </row>
        <row r="208">
          <cell r="A208" t="str">
            <v>101-13-60110</v>
          </cell>
          <cell r="B208" t="str">
            <v>Per Diem</v>
          </cell>
          <cell r="C208">
            <v>1282</v>
          </cell>
        </row>
        <row r="209">
          <cell r="A209" t="str">
            <v>101-13-61100</v>
          </cell>
          <cell r="B209" t="str">
            <v>Maintenance Building/Structure</v>
          </cell>
          <cell r="C209">
            <v>148</v>
          </cell>
        </row>
        <row r="210">
          <cell r="A210" t="str">
            <v>101-13-61400</v>
          </cell>
          <cell r="B210" t="str">
            <v>OFFICE EQUIPMENT</v>
          </cell>
          <cell r="C210">
            <v>0</v>
          </cell>
        </row>
        <row r="211">
          <cell r="A211" t="str">
            <v>101-13-62400</v>
          </cell>
          <cell r="B211" t="str">
            <v>Professional Services</v>
          </cell>
          <cell r="C211">
            <v>4116</v>
          </cell>
        </row>
        <row r="212">
          <cell r="A212" t="str">
            <v>101-13-63100</v>
          </cell>
          <cell r="B212" t="str">
            <v>Supplies</v>
          </cell>
          <cell r="C212">
            <v>4053</v>
          </cell>
        </row>
        <row r="213">
          <cell r="A213" t="str">
            <v>101-13-63200</v>
          </cell>
          <cell r="B213" t="str">
            <v>Non Cap Equipment</v>
          </cell>
          <cell r="C213">
            <v>2488</v>
          </cell>
        </row>
        <row r="214">
          <cell r="A214" t="str">
            <v>101-13-70800</v>
          </cell>
          <cell r="B214" t="str">
            <v>Postage &amp; Mail Services</v>
          </cell>
          <cell r="C214">
            <v>59</v>
          </cell>
        </row>
        <row r="215">
          <cell r="A215" t="str">
            <v>101-13-70900</v>
          </cell>
          <cell r="B215" t="str">
            <v>Printing/Publishing/Advertising</v>
          </cell>
          <cell r="C215">
            <v>642</v>
          </cell>
        </row>
        <row r="216">
          <cell r="A216" t="str">
            <v>101-13-71600</v>
          </cell>
          <cell r="B216" t="str">
            <v>Telephone</v>
          </cell>
          <cell r="C216">
            <v>2880</v>
          </cell>
        </row>
      </sheetData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Sheet1"/>
      <sheetName val="Sheet7"/>
      <sheetName val="PAYROLL"/>
      <sheetName val="Sheet4"/>
      <sheetName val="Sheet2"/>
      <sheetName val="Sheet3"/>
      <sheetName val="Police"/>
      <sheetName val="Sheet6"/>
      <sheetName val="Sheet5"/>
    </sheetNames>
    <sheetDataSet>
      <sheetData sheetId="0"/>
      <sheetData sheetId="1"/>
      <sheetData sheetId="2"/>
      <sheetData sheetId="3">
        <row r="4">
          <cell r="K4">
            <v>47507.199999999997</v>
          </cell>
        </row>
      </sheetData>
      <sheetData sheetId="4"/>
      <sheetData sheetId="5">
        <row r="1">
          <cell r="A1" t="str">
            <v>101-40000</v>
          </cell>
          <cell r="B1" t="str">
            <v>Motor Vehicle Registration Tax</v>
          </cell>
          <cell r="C1">
            <v>10086</v>
          </cell>
        </row>
        <row r="2">
          <cell r="A2" t="str">
            <v>101-40100</v>
          </cell>
          <cell r="B2" t="str">
            <v>Franchise Fees</v>
          </cell>
          <cell r="C2">
            <v>99323</v>
          </cell>
        </row>
        <row r="3">
          <cell r="A3" t="str">
            <v>101-40101</v>
          </cell>
          <cell r="B3" t="str">
            <v>Small Cities Assistance</v>
          </cell>
          <cell r="C3">
            <v>177449</v>
          </cell>
        </row>
        <row r="4">
          <cell r="A4" t="str">
            <v>101-40102</v>
          </cell>
          <cell r="B4" t="str">
            <v>FIREWORK FEES</v>
          </cell>
          <cell r="C4">
            <v>25002</v>
          </cell>
        </row>
        <row r="5">
          <cell r="A5" t="str">
            <v>101-41500</v>
          </cell>
          <cell r="B5" t="str">
            <v>GRT - Local</v>
          </cell>
          <cell r="C5">
            <v>613735</v>
          </cell>
        </row>
        <row r="6">
          <cell r="A6" t="str">
            <v>101-41510</v>
          </cell>
          <cell r="B6" t="str">
            <v>GRT INFRASTRUCTURE</v>
          </cell>
          <cell r="C6">
            <v>60444</v>
          </cell>
        </row>
        <row r="7">
          <cell r="A7" t="str">
            <v>101-41520</v>
          </cell>
          <cell r="B7" t="str">
            <v>GRT STATE</v>
          </cell>
          <cell r="C7">
            <v>612476</v>
          </cell>
        </row>
        <row r="8">
          <cell r="A8" t="str">
            <v>101-41530</v>
          </cell>
          <cell r="B8" t="str">
            <v>GRT INTERSTATE TELECOM</v>
          </cell>
          <cell r="C8">
            <v>832</v>
          </cell>
        </row>
        <row r="9">
          <cell r="A9" t="str">
            <v>101-41540</v>
          </cell>
          <cell r="B9" t="str">
            <v>GRT MUNI EQUIV DIST</v>
          </cell>
          <cell r="C9">
            <v>4608</v>
          </cell>
        </row>
        <row r="10">
          <cell r="A10" t="str">
            <v>101-41600</v>
          </cell>
          <cell r="B10" t="str">
            <v>IRB CN Wire / VCST PILOT</v>
          </cell>
          <cell r="C10">
            <v>44409</v>
          </cell>
        </row>
        <row r="11">
          <cell r="A11" t="str">
            <v>101-41800</v>
          </cell>
          <cell r="B11" t="str">
            <v>Animal License Permits</v>
          </cell>
          <cell r="C11">
            <v>2331</v>
          </cell>
        </row>
        <row r="12">
          <cell r="A12" t="str">
            <v>101-42000</v>
          </cell>
          <cell r="B12" t="str">
            <v>Liquor License</v>
          </cell>
          <cell r="C12">
            <v>750</v>
          </cell>
        </row>
        <row r="13">
          <cell r="A13" t="str">
            <v>101-42200</v>
          </cell>
          <cell r="B13" t="str">
            <v>Business Application Permit</v>
          </cell>
          <cell r="C13">
            <v>5960</v>
          </cell>
        </row>
        <row r="14">
          <cell r="A14" t="str">
            <v>101-43300</v>
          </cell>
          <cell r="B14" t="str">
            <v>Printing &amp; Copying Fees</v>
          </cell>
          <cell r="C14">
            <v>585</v>
          </cell>
        </row>
        <row r="15">
          <cell r="A15" t="str">
            <v>101-43302</v>
          </cell>
          <cell r="B15" t="str">
            <v>MVD FEES</v>
          </cell>
          <cell r="C15">
            <v>171008</v>
          </cell>
        </row>
        <row r="16">
          <cell r="A16" t="str">
            <v>101-43303</v>
          </cell>
          <cell r="B16" t="str">
            <v>Motor Vehicle Agent Allotment</v>
          </cell>
          <cell r="C16">
            <v>91411</v>
          </cell>
        </row>
        <row r="17">
          <cell r="A17" t="str">
            <v>101-44100</v>
          </cell>
          <cell r="B17" t="str">
            <v>Court Fines</v>
          </cell>
          <cell r="C17">
            <v>19585</v>
          </cell>
        </row>
        <row r="18">
          <cell r="A18" t="str">
            <v>101-48501</v>
          </cell>
          <cell r="B18" t="str">
            <v>FACILITIES RENTAL FEE</v>
          </cell>
          <cell r="C18">
            <v>25</v>
          </cell>
        </row>
        <row r="19">
          <cell r="A19" t="str">
            <v>101-48900</v>
          </cell>
          <cell r="B19" t="str">
            <v>Recreation Income</v>
          </cell>
          <cell r="C19">
            <v>0</v>
          </cell>
        </row>
        <row r="20">
          <cell r="A20" t="str">
            <v>101-48901</v>
          </cell>
          <cell r="B20" t="str">
            <v>RENT INCOME</v>
          </cell>
          <cell r="C20">
            <v>96456</v>
          </cell>
        </row>
        <row r="21">
          <cell r="A21" t="str">
            <v>101-64700</v>
          </cell>
          <cell r="B21" t="str">
            <v>MISCELLANEOUS REVENUE</v>
          </cell>
          <cell r="C21">
            <v>2207</v>
          </cell>
        </row>
        <row r="22">
          <cell r="A22" t="str">
            <v>101-01-50100</v>
          </cell>
          <cell r="B22" t="str">
            <v>Elected Officials</v>
          </cell>
          <cell r="C22">
            <v>14400</v>
          </cell>
        </row>
        <row r="23">
          <cell r="A23" t="str">
            <v>101-01-50300</v>
          </cell>
          <cell r="B23" t="str">
            <v>FICA-Medicare</v>
          </cell>
          <cell r="C23">
            <v>1171</v>
          </cell>
        </row>
        <row r="24">
          <cell r="A24" t="str">
            <v>101-01-50360</v>
          </cell>
          <cell r="B24" t="str">
            <v>Civil Liability Insurance</v>
          </cell>
          <cell r="C24">
            <v>36243</v>
          </cell>
        </row>
        <row r="25">
          <cell r="A25" t="str">
            <v>101-01-50370</v>
          </cell>
          <cell r="B25" t="str">
            <v>Workers Compensation Ins.</v>
          </cell>
          <cell r="C25">
            <v>32938</v>
          </cell>
        </row>
        <row r="26">
          <cell r="A26" t="str">
            <v>101-01-50380</v>
          </cell>
          <cell r="B26" t="str">
            <v>Property Insurance</v>
          </cell>
          <cell r="C26">
            <v>8689</v>
          </cell>
        </row>
        <row r="27">
          <cell r="A27" t="str">
            <v>101-01-50400</v>
          </cell>
          <cell r="B27" t="str">
            <v>Auto Liability Insurance</v>
          </cell>
          <cell r="C27">
            <v>5097</v>
          </cell>
        </row>
        <row r="28">
          <cell r="A28" t="str">
            <v>101-01-60100</v>
          </cell>
          <cell r="B28" t="str">
            <v>Mileage Reimbursement</v>
          </cell>
          <cell r="C28">
            <v>0</v>
          </cell>
        </row>
        <row r="29">
          <cell r="A29" t="str">
            <v>101-01-60102</v>
          </cell>
          <cell r="B29" t="str">
            <v>Conf. Registrations</v>
          </cell>
          <cell r="C29">
            <v>825</v>
          </cell>
        </row>
        <row r="30">
          <cell r="A30" t="str">
            <v>101-01-60110</v>
          </cell>
          <cell r="B30" t="str">
            <v>Per Diem</v>
          </cell>
          <cell r="C30">
            <v>921</v>
          </cell>
        </row>
        <row r="31">
          <cell r="A31" t="str">
            <v>101-01-62400</v>
          </cell>
          <cell r="B31" t="str">
            <v>Professional Services</v>
          </cell>
          <cell r="C31">
            <v>73805</v>
          </cell>
        </row>
        <row r="32">
          <cell r="A32" t="str">
            <v>101-01-63100</v>
          </cell>
          <cell r="B32" t="str">
            <v>Supplies</v>
          </cell>
          <cell r="C32">
            <v>2473</v>
          </cell>
        </row>
        <row r="33">
          <cell r="A33" t="str">
            <v>101-01-63700</v>
          </cell>
          <cell r="B33" t="str">
            <v>Water</v>
          </cell>
          <cell r="C33">
            <v>935</v>
          </cell>
        </row>
        <row r="34">
          <cell r="A34" t="str">
            <v>101-01-70900</v>
          </cell>
          <cell r="B34" t="str">
            <v>Printing/Publishing/Advertising</v>
          </cell>
          <cell r="C34">
            <v>0</v>
          </cell>
        </row>
        <row r="35">
          <cell r="A35" t="str">
            <v>101-01-71300</v>
          </cell>
          <cell r="B35" t="str">
            <v>Subscriptions/Dues</v>
          </cell>
          <cell r="C35">
            <v>4764</v>
          </cell>
        </row>
        <row r="36">
          <cell r="A36" t="str">
            <v>101-01-71500</v>
          </cell>
          <cell r="B36" t="str">
            <v>Fuel</v>
          </cell>
          <cell r="C36">
            <v>4880</v>
          </cell>
        </row>
        <row r="37">
          <cell r="A37" t="str">
            <v>101-01-71600</v>
          </cell>
          <cell r="B37" t="str">
            <v>Telephone</v>
          </cell>
          <cell r="C37">
            <v>6650</v>
          </cell>
        </row>
        <row r="38">
          <cell r="A38" t="str">
            <v>101-01-71700</v>
          </cell>
          <cell r="B38" t="str">
            <v>Utilities</v>
          </cell>
          <cell r="C38">
            <v>31591</v>
          </cell>
        </row>
        <row r="39">
          <cell r="A39" t="str">
            <v>101-01-91200</v>
          </cell>
          <cell r="B39" t="str">
            <v>Cap Equip &amp; Mach</v>
          </cell>
          <cell r="C39">
            <v>11093</v>
          </cell>
        </row>
        <row r="40">
          <cell r="A40" t="str">
            <v>101-02-50100</v>
          </cell>
          <cell r="B40" t="str">
            <v>Elected Officials</v>
          </cell>
          <cell r="C40">
            <v>17335</v>
          </cell>
        </row>
        <row r="41">
          <cell r="A41" t="str">
            <v>101-02-50300</v>
          </cell>
          <cell r="B41" t="str">
            <v>FICA-Medicare</v>
          </cell>
          <cell r="C41">
            <v>1244</v>
          </cell>
        </row>
        <row r="42">
          <cell r="A42" t="str">
            <v>101-02-50335</v>
          </cell>
          <cell r="B42" t="str">
            <v>Workers Comp Fee</v>
          </cell>
          <cell r="C42">
            <v>5</v>
          </cell>
        </row>
        <row r="43">
          <cell r="A43" t="str">
            <v>101-02-60102</v>
          </cell>
          <cell r="B43" t="str">
            <v>Conf. Registrations</v>
          </cell>
          <cell r="C43">
            <v>1985</v>
          </cell>
        </row>
        <row r="44">
          <cell r="A44" t="str">
            <v>101-02-60110</v>
          </cell>
          <cell r="B44" t="str">
            <v>Per Diem</v>
          </cell>
          <cell r="C44">
            <v>648</v>
          </cell>
        </row>
        <row r="45">
          <cell r="A45" t="str">
            <v>101-02-63100</v>
          </cell>
          <cell r="B45" t="str">
            <v>Supplies</v>
          </cell>
          <cell r="C45">
            <v>33</v>
          </cell>
        </row>
        <row r="46">
          <cell r="A46" t="str">
            <v>101-02-70900</v>
          </cell>
          <cell r="B46" t="str">
            <v>Printing/Publishing/Advertising</v>
          </cell>
          <cell r="C46">
            <v>82</v>
          </cell>
        </row>
        <row r="47">
          <cell r="A47" t="str">
            <v>101-02-71300</v>
          </cell>
          <cell r="B47" t="str">
            <v>Subscriptions/Dues</v>
          </cell>
          <cell r="C47">
            <v>35</v>
          </cell>
        </row>
        <row r="48">
          <cell r="A48" t="str">
            <v>101-03-50200</v>
          </cell>
          <cell r="B48" t="str">
            <v>Full Time Exempt</v>
          </cell>
          <cell r="C48">
            <v>52504</v>
          </cell>
        </row>
        <row r="49">
          <cell r="A49" t="str">
            <v>101-03-50201</v>
          </cell>
          <cell r="B49" t="str">
            <v>Full Time Classified</v>
          </cell>
          <cell r="C49">
            <v>79943</v>
          </cell>
        </row>
        <row r="50">
          <cell r="A50" t="str">
            <v>101-03-50300</v>
          </cell>
          <cell r="B50" t="str">
            <v>FICA-Medicare</v>
          </cell>
          <cell r="C50">
            <v>3069</v>
          </cell>
        </row>
        <row r="51">
          <cell r="A51" t="str">
            <v>101-03-50310</v>
          </cell>
          <cell r="B51" t="str">
            <v>State Unemployment</v>
          </cell>
          <cell r="C51">
            <v>5001</v>
          </cell>
        </row>
        <row r="52">
          <cell r="A52" t="str">
            <v>101-03-50320</v>
          </cell>
          <cell r="B52" t="str">
            <v>Retirement Contributions</v>
          </cell>
          <cell r="C52">
            <v>8398</v>
          </cell>
        </row>
        <row r="53">
          <cell r="A53" t="str">
            <v>101-03-50335</v>
          </cell>
          <cell r="B53" t="str">
            <v>Workers Comp Fee</v>
          </cell>
          <cell r="C53">
            <v>47</v>
          </cell>
        </row>
        <row r="54">
          <cell r="A54" t="str">
            <v>101-03-50340</v>
          </cell>
          <cell r="B54" t="str">
            <v>Health Care</v>
          </cell>
          <cell r="C54">
            <v>13416</v>
          </cell>
        </row>
        <row r="55">
          <cell r="A55" t="str">
            <v>101-03-60102</v>
          </cell>
          <cell r="B55" t="str">
            <v>Conf. Registrations</v>
          </cell>
          <cell r="C55">
            <v>700</v>
          </cell>
        </row>
        <row r="56">
          <cell r="A56" t="str">
            <v>101-03-60110</v>
          </cell>
          <cell r="B56" t="str">
            <v>Per Diem</v>
          </cell>
          <cell r="C56">
            <v>1718</v>
          </cell>
        </row>
        <row r="57">
          <cell r="A57" t="str">
            <v>101-03-61110</v>
          </cell>
          <cell r="B57" t="str">
            <v>Office Equipment</v>
          </cell>
          <cell r="C57">
            <v>846</v>
          </cell>
        </row>
        <row r="58">
          <cell r="A58" t="str">
            <v>101-03-63000</v>
          </cell>
          <cell r="B58" t="str">
            <v>Other Contractual Svcs - Tyler Maint</v>
          </cell>
          <cell r="C58">
            <v>21407</v>
          </cell>
        </row>
        <row r="59">
          <cell r="A59" t="str">
            <v>101-03-63100</v>
          </cell>
          <cell r="B59" t="str">
            <v>Supplies</v>
          </cell>
          <cell r="C59">
            <v>2395</v>
          </cell>
        </row>
        <row r="60">
          <cell r="A60" t="str">
            <v>101-03-63800</v>
          </cell>
          <cell r="B60" t="str">
            <v>IT Services</v>
          </cell>
          <cell r="C60">
            <v>1721</v>
          </cell>
        </row>
        <row r="61">
          <cell r="A61" t="str">
            <v>101-03-70800</v>
          </cell>
          <cell r="B61" t="str">
            <v>Postage &amp; Mail Services</v>
          </cell>
          <cell r="C61">
            <v>3767</v>
          </cell>
        </row>
        <row r="62">
          <cell r="A62" t="str">
            <v>101-03-70900</v>
          </cell>
          <cell r="B62" t="str">
            <v>Printing/Publishing/Advertising</v>
          </cell>
          <cell r="C62">
            <v>349</v>
          </cell>
        </row>
        <row r="63">
          <cell r="A63" t="str">
            <v>101-03-71200</v>
          </cell>
          <cell r="B63" t="str">
            <v>Rent of Equipmen Copier</v>
          </cell>
          <cell r="C63">
            <v>4581</v>
          </cell>
        </row>
        <row r="64">
          <cell r="A64" t="str">
            <v>101-03-71300</v>
          </cell>
          <cell r="B64" t="str">
            <v>Subscriptions/Dues</v>
          </cell>
          <cell r="C64">
            <v>110</v>
          </cell>
        </row>
        <row r="65">
          <cell r="A65" t="str">
            <v>101-03-71600</v>
          </cell>
          <cell r="B65" t="str">
            <v>Telephone</v>
          </cell>
          <cell r="C65">
            <v>6958</v>
          </cell>
        </row>
        <row r="66">
          <cell r="A66" t="str">
            <v>101-03-72000</v>
          </cell>
          <cell r="B66" t="str">
            <v>Bank Charge Fees</v>
          </cell>
          <cell r="C66">
            <v>316</v>
          </cell>
        </row>
        <row r="67">
          <cell r="A67" t="str">
            <v>101-04-50100</v>
          </cell>
          <cell r="B67" t="str">
            <v>Elected Officials</v>
          </cell>
          <cell r="C67">
            <v>9600</v>
          </cell>
        </row>
        <row r="68">
          <cell r="A68" t="str">
            <v>101-04-50201</v>
          </cell>
          <cell r="B68" t="str">
            <v>Full Time Classified</v>
          </cell>
          <cell r="C68">
            <v>13899</v>
          </cell>
        </row>
        <row r="69">
          <cell r="A69" t="str">
            <v>101-04-50202</v>
          </cell>
          <cell r="B69" t="str">
            <v>Part Time Classified</v>
          </cell>
          <cell r="C69">
            <v>32523</v>
          </cell>
        </row>
        <row r="70">
          <cell r="A70" t="str">
            <v>101-04-50300</v>
          </cell>
          <cell r="B70" t="str">
            <v>FICA-Medicare</v>
          </cell>
          <cell r="C70">
            <v>2415</v>
          </cell>
        </row>
        <row r="71">
          <cell r="A71" t="str">
            <v>101-04-50310</v>
          </cell>
          <cell r="B71" t="str">
            <v>State Unemployment</v>
          </cell>
          <cell r="C71">
            <v>2105</v>
          </cell>
        </row>
        <row r="72">
          <cell r="A72" t="str">
            <v>101-04-50320</v>
          </cell>
          <cell r="B72" t="str">
            <v>Retirement Contributions</v>
          </cell>
          <cell r="C72">
            <v>4014</v>
          </cell>
        </row>
        <row r="73">
          <cell r="A73" t="str">
            <v>101-04-50335</v>
          </cell>
          <cell r="B73" t="str">
            <v>Workers Comp Fee</v>
          </cell>
          <cell r="C73">
            <v>28</v>
          </cell>
        </row>
        <row r="74">
          <cell r="A74" t="str">
            <v>101-04-50340</v>
          </cell>
          <cell r="B74" t="str">
            <v>Health Care</v>
          </cell>
          <cell r="C74">
            <v>8945</v>
          </cell>
        </row>
        <row r="75">
          <cell r="A75" t="str">
            <v>101-04-60100</v>
          </cell>
          <cell r="B75" t="str">
            <v>Mileage Reimbursement</v>
          </cell>
          <cell r="C75">
            <v>0</v>
          </cell>
        </row>
        <row r="76">
          <cell r="A76" t="str">
            <v>101-04-60102</v>
          </cell>
          <cell r="B76" t="str">
            <v>Conf. Registrations</v>
          </cell>
          <cell r="C76">
            <v>375</v>
          </cell>
        </row>
        <row r="77">
          <cell r="A77" t="str">
            <v>101-04-60110</v>
          </cell>
          <cell r="B77" t="str">
            <v>Per Diem</v>
          </cell>
          <cell r="C77">
            <v>1513</v>
          </cell>
        </row>
        <row r="78">
          <cell r="A78" t="str">
            <v>101-04-62400</v>
          </cell>
          <cell r="B78" t="str">
            <v>Professional Services</v>
          </cell>
          <cell r="C78">
            <v>485</v>
          </cell>
        </row>
        <row r="79">
          <cell r="A79" t="str">
            <v>101-04-62500</v>
          </cell>
          <cell r="B79" t="str">
            <v>Other Contr Svcs</v>
          </cell>
          <cell r="C79">
            <v>340</v>
          </cell>
        </row>
        <row r="80">
          <cell r="A80" t="str">
            <v>101-04-63100</v>
          </cell>
          <cell r="B80" t="str">
            <v>Supplies</v>
          </cell>
          <cell r="C80">
            <v>1321</v>
          </cell>
        </row>
        <row r="81">
          <cell r="A81" t="str">
            <v>101-04-63700</v>
          </cell>
          <cell r="B81" t="str">
            <v>Water</v>
          </cell>
          <cell r="C81">
            <v>421</v>
          </cell>
        </row>
        <row r="82">
          <cell r="A82" t="str">
            <v>101-04-70800</v>
          </cell>
          <cell r="B82" t="str">
            <v>Postage &amp; Mail Services</v>
          </cell>
          <cell r="C82">
            <v>500</v>
          </cell>
        </row>
        <row r="83">
          <cell r="A83" t="str">
            <v>101-04-70900</v>
          </cell>
          <cell r="B83" t="str">
            <v>Printing/Publishing/Advertising</v>
          </cell>
          <cell r="C83">
            <v>62</v>
          </cell>
        </row>
        <row r="84">
          <cell r="A84" t="str">
            <v>101-04-71300</v>
          </cell>
          <cell r="B84" t="str">
            <v>Subscriptions/Dues</v>
          </cell>
          <cell r="C84">
            <v>0</v>
          </cell>
        </row>
        <row r="85">
          <cell r="A85" t="str">
            <v>101-04-71600</v>
          </cell>
          <cell r="B85" t="str">
            <v>Telephone</v>
          </cell>
          <cell r="C85">
            <v>2377</v>
          </cell>
        </row>
        <row r="86">
          <cell r="A86" t="str">
            <v>101-04-72000</v>
          </cell>
          <cell r="B86" t="str">
            <v>Bank Charges/Credit Card Fees</v>
          </cell>
          <cell r="C86">
            <v>0</v>
          </cell>
        </row>
        <row r="87">
          <cell r="A87" t="str">
            <v>101-05-50200</v>
          </cell>
          <cell r="B87" t="str">
            <v>Full Time Exempt</v>
          </cell>
          <cell r="C87">
            <v>46720</v>
          </cell>
        </row>
        <row r="88">
          <cell r="A88" t="str">
            <v>101-05-50201</v>
          </cell>
          <cell r="B88" t="str">
            <v>Full Time Classified</v>
          </cell>
          <cell r="C88">
            <v>287154</v>
          </cell>
        </row>
        <row r="89">
          <cell r="A89" t="str">
            <v>101-05-50230</v>
          </cell>
          <cell r="B89" t="str">
            <v>Overtime FT Class Police</v>
          </cell>
          <cell r="C89">
            <v>18833</v>
          </cell>
        </row>
        <row r="90">
          <cell r="A90" t="str">
            <v>101-05-50300</v>
          </cell>
          <cell r="B90" t="str">
            <v>FICA-Medicare</v>
          </cell>
          <cell r="C90">
            <v>4642</v>
          </cell>
        </row>
        <row r="91">
          <cell r="A91" t="str">
            <v>101-05-50310</v>
          </cell>
          <cell r="B91" t="str">
            <v>State Unemployment</v>
          </cell>
          <cell r="C91">
            <v>10417</v>
          </cell>
        </row>
        <row r="92">
          <cell r="A92" t="str">
            <v>101-05-50320</v>
          </cell>
          <cell r="B92" t="str">
            <v>Retirement Contributions</v>
          </cell>
          <cell r="C92">
            <v>36091</v>
          </cell>
        </row>
        <row r="93">
          <cell r="A93" t="str">
            <v>101-05-50335</v>
          </cell>
          <cell r="B93" t="str">
            <v>Workers Comp Fee</v>
          </cell>
          <cell r="C93">
            <v>94</v>
          </cell>
        </row>
        <row r="94">
          <cell r="A94" t="str">
            <v>101-05-50340</v>
          </cell>
          <cell r="B94" t="str">
            <v>Health Care</v>
          </cell>
          <cell r="C94">
            <v>67637</v>
          </cell>
        </row>
        <row r="95">
          <cell r="A95" t="str">
            <v>101-05-60102</v>
          </cell>
          <cell r="B95" t="str">
            <v>Conf. Registrations</v>
          </cell>
          <cell r="C95">
            <v>890</v>
          </cell>
        </row>
        <row r="96">
          <cell r="A96" t="str">
            <v>101-05-60110</v>
          </cell>
          <cell r="B96" t="str">
            <v>Per Diem</v>
          </cell>
          <cell r="C96">
            <v>307</v>
          </cell>
        </row>
        <row r="97">
          <cell r="A97" t="str">
            <v>101-05-61110</v>
          </cell>
          <cell r="B97" t="str">
            <v>Maintenance Vehicle</v>
          </cell>
          <cell r="C97">
            <v>8260</v>
          </cell>
        </row>
        <row r="98">
          <cell r="A98" t="str">
            <v>101-05-62400</v>
          </cell>
          <cell r="B98" t="str">
            <v>Professional Services</v>
          </cell>
          <cell r="C98">
            <v>1328</v>
          </cell>
        </row>
        <row r="99">
          <cell r="A99" t="str">
            <v>101-05-62600</v>
          </cell>
          <cell r="B99" t="str">
            <v>Medical/Psych Tests</v>
          </cell>
          <cell r="C99">
            <v>163</v>
          </cell>
        </row>
        <row r="100">
          <cell r="A100" t="str">
            <v>101-05-63100</v>
          </cell>
          <cell r="B100" t="str">
            <v>Supplies</v>
          </cell>
          <cell r="C100">
            <v>5282</v>
          </cell>
        </row>
        <row r="101">
          <cell r="A101" t="str">
            <v>101-05-63400</v>
          </cell>
          <cell r="B101" t="str">
            <v>Uniforms</v>
          </cell>
          <cell r="C101">
            <v>873</v>
          </cell>
        </row>
        <row r="102">
          <cell r="A102" t="str">
            <v>101-05-63600</v>
          </cell>
          <cell r="B102" t="str">
            <v>Ammunition</v>
          </cell>
          <cell r="C102">
            <v>1530</v>
          </cell>
        </row>
        <row r="103">
          <cell r="A103" t="str">
            <v>101-05-70200</v>
          </cell>
          <cell r="B103" t="str">
            <v>Dispatch Services/MVRDA</v>
          </cell>
          <cell r="C103">
            <v>72857</v>
          </cell>
        </row>
        <row r="104">
          <cell r="A104" t="str">
            <v>101-05-70300</v>
          </cell>
          <cell r="B104" t="str">
            <v>Care of Prisioners</v>
          </cell>
          <cell r="C104">
            <v>14678</v>
          </cell>
        </row>
        <row r="105">
          <cell r="A105" t="str">
            <v>101-05-70800</v>
          </cell>
          <cell r="B105" t="str">
            <v>Postage &amp; Mail Services</v>
          </cell>
          <cell r="C105">
            <v>500</v>
          </cell>
        </row>
        <row r="106">
          <cell r="A106" t="str">
            <v>101-05-70900</v>
          </cell>
          <cell r="B106" t="str">
            <v>Printing/Publishing/Advertising</v>
          </cell>
          <cell r="C106">
            <v>220</v>
          </cell>
        </row>
        <row r="107">
          <cell r="A107" t="str">
            <v>101-05-71200</v>
          </cell>
          <cell r="B107" t="str">
            <v>Rent of Equipment/Machinery</v>
          </cell>
          <cell r="C107">
            <v>1544</v>
          </cell>
        </row>
        <row r="108">
          <cell r="A108" t="str">
            <v>101-05-71300</v>
          </cell>
          <cell r="B108" t="str">
            <v>Subscriptions/Dues</v>
          </cell>
          <cell r="C108">
            <v>75</v>
          </cell>
        </row>
        <row r="109">
          <cell r="A109" t="str">
            <v>101-05-71500</v>
          </cell>
          <cell r="B109" t="str">
            <v>Fuel</v>
          </cell>
          <cell r="C109">
            <v>21416</v>
          </cell>
        </row>
        <row r="110">
          <cell r="A110" t="str">
            <v>101-05-71600</v>
          </cell>
          <cell r="B110" t="str">
            <v>Telephone</v>
          </cell>
          <cell r="C110">
            <v>2452</v>
          </cell>
        </row>
        <row r="111">
          <cell r="A111" t="str">
            <v>101-06-62400</v>
          </cell>
          <cell r="B111" t="str">
            <v>Professional Services</v>
          </cell>
          <cell r="C111">
            <v>29786</v>
          </cell>
        </row>
        <row r="112">
          <cell r="A112" t="str">
            <v>101-07-61100</v>
          </cell>
          <cell r="B112" t="str">
            <v>Maintenance Building/Structure</v>
          </cell>
          <cell r="C112">
            <v>4867</v>
          </cell>
        </row>
        <row r="113">
          <cell r="A113" t="str">
            <v>101-07-63100</v>
          </cell>
          <cell r="B113" t="str">
            <v>Supplies</v>
          </cell>
          <cell r="C113">
            <v>0</v>
          </cell>
        </row>
        <row r="114">
          <cell r="A114" t="str">
            <v>101-07-71700</v>
          </cell>
          <cell r="B114" t="str">
            <v>Utilities</v>
          </cell>
          <cell r="C114">
            <v>20984</v>
          </cell>
        </row>
        <row r="115">
          <cell r="A115" t="str">
            <v>101-07-91200</v>
          </cell>
          <cell r="B115" t="str">
            <v>Cap Equip &amp; Mach</v>
          </cell>
          <cell r="C115">
            <v>12000</v>
          </cell>
        </row>
        <row r="116">
          <cell r="A116" t="str">
            <v>101-08-50201</v>
          </cell>
          <cell r="B116" t="str">
            <v>Full Time Classified</v>
          </cell>
          <cell r="C116">
            <v>120836</v>
          </cell>
        </row>
        <row r="117">
          <cell r="A117" t="str">
            <v>101-08-50230</v>
          </cell>
          <cell r="B117" t="str">
            <v>Overtime Full Time Classified</v>
          </cell>
          <cell r="C117">
            <v>4248</v>
          </cell>
        </row>
        <row r="118">
          <cell r="A118" t="str">
            <v>101-08-50300</v>
          </cell>
          <cell r="B118" t="str">
            <v>FICA-Medicare</v>
          </cell>
          <cell r="C118">
            <v>1595</v>
          </cell>
        </row>
        <row r="119">
          <cell r="A119" t="str">
            <v>101-08-50310</v>
          </cell>
          <cell r="B119" t="str">
            <v>State Unemployment</v>
          </cell>
          <cell r="C119">
            <v>5168</v>
          </cell>
        </row>
        <row r="120">
          <cell r="A120" t="str">
            <v>101-08-50320</v>
          </cell>
          <cell r="B120" t="str">
            <v>Retirement Contributions</v>
          </cell>
          <cell r="C120">
            <v>8798</v>
          </cell>
        </row>
        <row r="121">
          <cell r="A121" t="str">
            <v>101-08-50335</v>
          </cell>
          <cell r="B121" t="str">
            <v>Workers Comp Fee</v>
          </cell>
          <cell r="C121">
            <v>46</v>
          </cell>
        </row>
        <row r="122">
          <cell r="A122" t="str">
            <v>101-08-50340</v>
          </cell>
          <cell r="B122" t="str">
            <v>Health Care</v>
          </cell>
          <cell r="C122">
            <v>12026</v>
          </cell>
        </row>
        <row r="123">
          <cell r="A123" t="str">
            <v>101-08-60102</v>
          </cell>
          <cell r="B123" t="str">
            <v>Conf. Registrations</v>
          </cell>
          <cell r="C123">
            <v>185</v>
          </cell>
        </row>
        <row r="124">
          <cell r="A124" t="str">
            <v>101-08-60110</v>
          </cell>
          <cell r="B124" t="str">
            <v>Per Diem</v>
          </cell>
          <cell r="C124">
            <v>1137</v>
          </cell>
        </row>
        <row r="125">
          <cell r="A125" t="str">
            <v>101-08-61110</v>
          </cell>
          <cell r="B125" t="str">
            <v>Maintenance Vehicle</v>
          </cell>
          <cell r="C125">
            <v>6420</v>
          </cell>
        </row>
        <row r="126">
          <cell r="A126" t="str">
            <v>101-08-61300</v>
          </cell>
          <cell r="B126" t="str">
            <v>Maintenance Grounds/Roadways</v>
          </cell>
          <cell r="C126">
            <v>25577</v>
          </cell>
        </row>
        <row r="127">
          <cell r="A127" t="str">
            <v>101-08-63100</v>
          </cell>
          <cell r="B127" t="str">
            <v>Supplies</v>
          </cell>
          <cell r="C127">
            <v>6445</v>
          </cell>
        </row>
        <row r="128">
          <cell r="A128" t="str">
            <v>101-08-63300</v>
          </cell>
          <cell r="B128" t="str">
            <v>Safety Equipment</v>
          </cell>
          <cell r="C128">
            <v>0</v>
          </cell>
        </row>
        <row r="129">
          <cell r="A129" t="str">
            <v>101-08-63400</v>
          </cell>
          <cell r="B129" t="str">
            <v>Uniforms</v>
          </cell>
          <cell r="C129">
            <v>1951</v>
          </cell>
        </row>
        <row r="130">
          <cell r="A130" t="str">
            <v>101-08-71200</v>
          </cell>
          <cell r="B130" t="str">
            <v>Rent of Equipment/Machinery</v>
          </cell>
          <cell r="C130">
            <v>0</v>
          </cell>
        </row>
        <row r="131">
          <cell r="A131" t="str">
            <v>101-08-71701</v>
          </cell>
          <cell r="B131" t="str">
            <v>Utilities (Street Lights)</v>
          </cell>
          <cell r="C131">
            <v>40376</v>
          </cell>
        </row>
        <row r="132">
          <cell r="A132" t="str">
            <v>101-08-91100</v>
          </cell>
          <cell r="B132" t="str">
            <v>Equipment/Machinery</v>
          </cell>
          <cell r="C132">
            <v>0</v>
          </cell>
        </row>
        <row r="133">
          <cell r="A133" t="str">
            <v>101-08-91200</v>
          </cell>
          <cell r="B133" t="str">
            <v>Cap Equip - Tractor Mower</v>
          </cell>
          <cell r="C133">
            <v>29570</v>
          </cell>
        </row>
        <row r="134">
          <cell r="A134" t="str">
            <v>101-08-91400</v>
          </cell>
          <cell r="B134" t="str">
            <v>Community Assistance Expense</v>
          </cell>
          <cell r="C134">
            <v>0</v>
          </cell>
        </row>
        <row r="135">
          <cell r="A135" t="str">
            <v>101-09-50201</v>
          </cell>
          <cell r="B135" t="str">
            <v>Full Time Classified</v>
          </cell>
          <cell r="C135">
            <v>26339</v>
          </cell>
        </row>
        <row r="136">
          <cell r="A136" t="str">
            <v>101-09-50300</v>
          </cell>
          <cell r="B136" t="str">
            <v>FICA-Medicare</v>
          </cell>
          <cell r="C136">
            <v>1430</v>
          </cell>
        </row>
        <row r="137">
          <cell r="A137" t="str">
            <v>101-09-50310</v>
          </cell>
          <cell r="B137" t="str">
            <v>State Unemployment</v>
          </cell>
          <cell r="C137">
            <v>949</v>
          </cell>
        </row>
        <row r="138">
          <cell r="A138" t="str">
            <v>101-09-50320</v>
          </cell>
          <cell r="B138" t="str">
            <v>Retirement Contributions</v>
          </cell>
          <cell r="C138">
            <v>2001</v>
          </cell>
        </row>
        <row r="139">
          <cell r="A139" t="str">
            <v>101-09-50335</v>
          </cell>
          <cell r="B139" t="str">
            <v>Workers Comp Fee</v>
          </cell>
          <cell r="C139">
            <v>24</v>
          </cell>
        </row>
        <row r="140">
          <cell r="A140" t="str">
            <v>101-09-50340</v>
          </cell>
          <cell r="B140" t="str">
            <v>Health Care</v>
          </cell>
          <cell r="C140">
            <v>2357</v>
          </cell>
        </row>
        <row r="141">
          <cell r="A141" t="str">
            <v>101-09-60102</v>
          </cell>
          <cell r="B141" t="str">
            <v>Conf. Registrations</v>
          </cell>
          <cell r="C141">
            <v>1911</v>
          </cell>
        </row>
        <row r="142">
          <cell r="A142" t="str">
            <v>101-09-60110</v>
          </cell>
          <cell r="B142" t="str">
            <v>Per Diem</v>
          </cell>
          <cell r="C142">
            <v>267</v>
          </cell>
        </row>
        <row r="143">
          <cell r="A143" t="str">
            <v>101-09-63100</v>
          </cell>
          <cell r="B143" t="str">
            <v>Supplies</v>
          </cell>
          <cell r="C143">
            <v>2500</v>
          </cell>
        </row>
        <row r="144">
          <cell r="A144" t="str">
            <v>101-09-63400</v>
          </cell>
          <cell r="B144" t="str">
            <v>Uniforms</v>
          </cell>
          <cell r="C144">
            <v>500</v>
          </cell>
        </row>
        <row r="145">
          <cell r="A145" t="str">
            <v>101-10-50201</v>
          </cell>
          <cell r="B145" t="str">
            <v>Full Time Classified</v>
          </cell>
          <cell r="C145">
            <v>36534</v>
          </cell>
        </row>
        <row r="146">
          <cell r="A146" t="str">
            <v>101-10-50202</v>
          </cell>
          <cell r="B146" t="str">
            <v>Part Time Classified</v>
          </cell>
          <cell r="C146">
            <v>24900</v>
          </cell>
        </row>
        <row r="147">
          <cell r="A147" t="str">
            <v>101-10-50300</v>
          </cell>
          <cell r="B147" t="str">
            <v>FICA-MEDICARE</v>
          </cell>
          <cell r="C147">
            <v>2550</v>
          </cell>
        </row>
        <row r="148">
          <cell r="A148" t="str">
            <v>101-10-50310</v>
          </cell>
          <cell r="B148" t="str">
            <v>State Unemployment</v>
          </cell>
          <cell r="C148">
            <v>2433</v>
          </cell>
        </row>
        <row r="149">
          <cell r="A149" t="str">
            <v>101-10-50320</v>
          </cell>
          <cell r="B149" t="str">
            <v>Retirement Contributions</v>
          </cell>
          <cell r="C149">
            <v>2567</v>
          </cell>
        </row>
        <row r="150">
          <cell r="A150" t="str">
            <v>101-10-50335</v>
          </cell>
          <cell r="B150" t="str">
            <v>Workers Comp Fee</v>
          </cell>
          <cell r="C150">
            <v>35</v>
          </cell>
        </row>
        <row r="151">
          <cell r="A151" t="str">
            <v>101-10-50340</v>
          </cell>
          <cell r="B151" t="str">
            <v>Health Care</v>
          </cell>
          <cell r="C151">
            <v>2476</v>
          </cell>
        </row>
        <row r="152">
          <cell r="A152" t="str">
            <v>101-10-61100</v>
          </cell>
          <cell r="B152" t="str">
            <v>Maintenance Building/Structure</v>
          </cell>
          <cell r="C152">
            <v>2365</v>
          </cell>
        </row>
        <row r="153">
          <cell r="A153" t="str">
            <v>101-10-62400</v>
          </cell>
          <cell r="B153" t="str">
            <v>Professional Services</v>
          </cell>
          <cell r="C153">
            <v>4995</v>
          </cell>
        </row>
        <row r="154">
          <cell r="A154" t="str">
            <v>101-10-63100</v>
          </cell>
          <cell r="B154" t="str">
            <v>Supplies</v>
          </cell>
          <cell r="C154">
            <v>1986</v>
          </cell>
        </row>
        <row r="155">
          <cell r="A155" t="str">
            <v>101-10-70900</v>
          </cell>
          <cell r="B155" t="str">
            <v>Printing/Publishing/Advertising</v>
          </cell>
          <cell r="C155">
            <v>0</v>
          </cell>
        </row>
        <row r="156">
          <cell r="A156" t="str">
            <v>101-10-71200</v>
          </cell>
          <cell r="B156" t="str">
            <v>Rent of Equipment/Printer Lease</v>
          </cell>
          <cell r="C156">
            <v>1665</v>
          </cell>
        </row>
        <row r="157">
          <cell r="A157" t="str">
            <v>101-10-71300</v>
          </cell>
          <cell r="B157" t="str">
            <v>Subscriptions/Dues</v>
          </cell>
          <cell r="C157">
            <v>252</v>
          </cell>
        </row>
        <row r="158">
          <cell r="A158" t="str">
            <v>101-10-71600</v>
          </cell>
          <cell r="B158" t="str">
            <v>Telephone</v>
          </cell>
          <cell r="C158">
            <v>4100</v>
          </cell>
        </row>
        <row r="159">
          <cell r="A159" t="str">
            <v>101-10-71700</v>
          </cell>
          <cell r="B159" t="str">
            <v>Utilities</v>
          </cell>
          <cell r="C159">
            <v>5585</v>
          </cell>
        </row>
        <row r="160">
          <cell r="A160" t="str">
            <v>101-10-91200</v>
          </cell>
          <cell r="B160" t="str">
            <v>Cap Equip &amp; Mach Exec</v>
          </cell>
          <cell r="C160">
            <v>6765</v>
          </cell>
        </row>
        <row r="161">
          <cell r="A161" t="str">
            <v>101-11-50201</v>
          </cell>
          <cell r="B161" t="str">
            <v>Full Time Classified</v>
          </cell>
          <cell r="C161">
            <v>29159</v>
          </cell>
        </row>
        <row r="162">
          <cell r="A162" t="str">
            <v>101-11-50230</v>
          </cell>
          <cell r="B162" t="str">
            <v>Overtime FT Class Animal Control</v>
          </cell>
          <cell r="C162">
            <v>0</v>
          </cell>
        </row>
        <row r="163">
          <cell r="A163" t="str">
            <v>101-11-50300</v>
          </cell>
          <cell r="B163" t="str">
            <v>FICA-Medicare</v>
          </cell>
          <cell r="C163">
            <v>419</v>
          </cell>
        </row>
        <row r="164">
          <cell r="A164" t="str">
            <v>101-11-50310</v>
          </cell>
          <cell r="B164" t="str">
            <v>Fed Unemployment</v>
          </cell>
          <cell r="C164">
            <v>1318</v>
          </cell>
        </row>
        <row r="165">
          <cell r="A165" t="str">
            <v>101-11-50320</v>
          </cell>
          <cell r="B165" t="str">
            <v>Retirement Contributions</v>
          </cell>
          <cell r="C165">
            <v>2149</v>
          </cell>
        </row>
        <row r="166">
          <cell r="A166" t="str">
            <v>101-11-50335</v>
          </cell>
          <cell r="B166" t="str">
            <v>Workers Comp Fee</v>
          </cell>
          <cell r="C166">
            <v>12</v>
          </cell>
        </row>
        <row r="167">
          <cell r="A167" t="str">
            <v>101-11-50340</v>
          </cell>
          <cell r="B167" t="str">
            <v>Health Care</v>
          </cell>
          <cell r="C167">
            <v>1291</v>
          </cell>
        </row>
        <row r="168">
          <cell r="A168" t="str">
            <v>101-11-60102</v>
          </cell>
          <cell r="B168" t="str">
            <v>Conf. Registrations</v>
          </cell>
          <cell r="C168">
            <v>35</v>
          </cell>
        </row>
        <row r="169">
          <cell r="A169" t="str">
            <v>101-11-60110</v>
          </cell>
          <cell r="B169" t="str">
            <v>Per Diem</v>
          </cell>
          <cell r="C169">
            <v>0</v>
          </cell>
        </row>
        <row r="170">
          <cell r="A170" t="str">
            <v>101-11-61120</v>
          </cell>
          <cell r="B170" t="str">
            <v>Animal Control Expense</v>
          </cell>
          <cell r="C170">
            <v>3150</v>
          </cell>
        </row>
        <row r="171">
          <cell r="A171" t="str">
            <v>101-11-63100</v>
          </cell>
          <cell r="B171" t="str">
            <v>Supplies</v>
          </cell>
          <cell r="C171">
            <v>2884</v>
          </cell>
        </row>
        <row r="172">
          <cell r="A172" t="str">
            <v>101-11-63400</v>
          </cell>
          <cell r="B172" t="str">
            <v>Uniforms</v>
          </cell>
          <cell r="C172">
            <v>316</v>
          </cell>
        </row>
        <row r="173">
          <cell r="A173" t="str">
            <v>101-12-71000</v>
          </cell>
          <cell r="B173" t="str">
            <v>Matching Funds/City Pledge</v>
          </cell>
          <cell r="C173">
            <v>0</v>
          </cell>
        </row>
        <row r="174">
          <cell r="A174" t="str">
            <v>101-13-50201</v>
          </cell>
          <cell r="B174" t="str">
            <v>Full Time Classified</v>
          </cell>
          <cell r="C174">
            <v>39748</v>
          </cell>
        </row>
        <row r="175">
          <cell r="A175" t="str">
            <v>101-13-50202</v>
          </cell>
          <cell r="B175" t="str">
            <v>Full Time Temporary</v>
          </cell>
          <cell r="C175">
            <v>85867</v>
          </cell>
        </row>
        <row r="176">
          <cell r="A176" t="str">
            <v>101-13-50300</v>
          </cell>
          <cell r="B176" t="str">
            <v>FICA-Medicare</v>
          </cell>
          <cell r="C176">
            <v>2584</v>
          </cell>
        </row>
        <row r="177">
          <cell r="A177" t="str">
            <v>101-13-50310</v>
          </cell>
          <cell r="B177" t="str">
            <v>Fed Unemployment</v>
          </cell>
          <cell r="C177">
            <v>4800</v>
          </cell>
        </row>
        <row r="178">
          <cell r="A178" t="str">
            <v>101-13-50320</v>
          </cell>
          <cell r="B178" t="str">
            <v>Retirement Contributions</v>
          </cell>
          <cell r="C178">
            <v>8606</v>
          </cell>
        </row>
        <row r="179">
          <cell r="A179" t="str">
            <v>101-13-50335</v>
          </cell>
          <cell r="B179" t="str">
            <v>Workers Comp Fee</v>
          </cell>
          <cell r="C179">
            <v>56</v>
          </cell>
        </row>
        <row r="180">
          <cell r="A180" t="str">
            <v>101-13-50340</v>
          </cell>
          <cell r="B180" t="str">
            <v>Health Care</v>
          </cell>
          <cell r="C180">
            <v>16130</v>
          </cell>
        </row>
        <row r="181">
          <cell r="A181" t="str">
            <v>101-13-60102</v>
          </cell>
          <cell r="B181" t="str">
            <v>Conf. Registrations</v>
          </cell>
          <cell r="C181">
            <v>0</v>
          </cell>
        </row>
        <row r="182">
          <cell r="A182" t="str">
            <v>101-13-60110</v>
          </cell>
          <cell r="B182" t="str">
            <v>Per Diem</v>
          </cell>
          <cell r="C182">
            <v>468</v>
          </cell>
        </row>
        <row r="183">
          <cell r="A183" t="str">
            <v>101-13-61100</v>
          </cell>
          <cell r="B183" t="str">
            <v>Maintenance Building/Structure</v>
          </cell>
          <cell r="C183">
            <v>0</v>
          </cell>
        </row>
        <row r="184">
          <cell r="A184" t="str">
            <v>101-13-61400</v>
          </cell>
          <cell r="B184" t="str">
            <v>OFFICE EQUIPMENT</v>
          </cell>
          <cell r="C184">
            <v>990</v>
          </cell>
        </row>
        <row r="185">
          <cell r="A185" t="str">
            <v>101-13-62400</v>
          </cell>
          <cell r="B185" t="str">
            <v>Professional Services</v>
          </cell>
          <cell r="C185">
            <v>2640</v>
          </cell>
        </row>
        <row r="186">
          <cell r="A186" t="str">
            <v>101-13-63100</v>
          </cell>
          <cell r="B186" t="str">
            <v>Supplies</v>
          </cell>
          <cell r="C186">
            <v>1679</v>
          </cell>
        </row>
        <row r="187">
          <cell r="A187" t="str">
            <v>101-13-63200</v>
          </cell>
          <cell r="B187" t="str">
            <v>Non Cap Equipment</v>
          </cell>
          <cell r="C187">
            <v>248</v>
          </cell>
        </row>
        <row r="188">
          <cell r="A188" t="str">
            <v>101-13-70800</v>
          </cell>
          <cell r="B188" t="str">
            <v>Postage &amp; Mail Services</v>
          </cell>
          <cell r="C188">
            <v>100</v>
          </cell>
        </row>
        <row r="189">
          <cell r="A189" t="str">
            <v>101-13-70900</v>
          </cell>
          <cell r="B189" t="str">
            <v>Printing/Publishing/Advertising</v>
          </cell>
          <cell r="C189">
            <v>0</v>
          </cell>
        </row>
        <row r="190">
          <cell r="A190" t="str">
            <v>101-13-71200</v>
          </cell>
          <cell r="B190" t="str">
            <v>Rent of Equipment/Machinery</v>
          </cell>
          <cell r="C190">
            <v>2075</v>
          </cell>
        </row>
        <row r="191">
          <cell r="A191" t="str">
            <v>101-13-71600</v>
          </cell>
          <cell r="B191" t="str">
            <v>Telephone</v>
          </cell>
          <cell r="C191">
            <v>4105</v>
          </cell>
        </row>
        <row r="192">
          <cell r="A192" t="str">
            <v>101-14-50201</v>
          </cell>
          <cell r="B192" t="str">
            <v>Full Time Classified</v>
          </cell>
          <cell r="C192">
            <v>57561</v>
          </cell>
        </row>
        <row r="193">
          <cell r="A193" t="str">
            <v>101-14-50300</v>
          </cell>
          <cell r="B193" t="str">
            <v>FICA-Medicare</v>
          </cell>
          <cell r="C193">
            <v>1132</v>
          </cell>
        </row>
        <row r="194">
          <cell r="A194" t="str">
            <v>101-14-50310</v>
          </cell>
          <cell r="B194" t="str">
            <v>Fed Unemployment</v>
          </cell>
          <cell r="C194">
            <v>2239</v>
          </cell>
        </row>
        <row r="195">
          <cell r="A195" t="str">
            <v>101-14-50320</v>
          </cell>
          <cell r="B195" t="str">
            <v>Retirement Contributions</v>
          </cell>
          <cell r="C195">
            <v>39132</v>
          </cell>
        </row>
        <row r="196">
          <cell r="A196" t="str">
            <v>101-14-50335</v>
          </cell>
          <cell r="B196" t="str">
            <v>Workers Comp Fee</v>
          </cell>
          <cell r="C196">
            <v>18</v>
          </cell>
        </row>
        <row r="197">
          <cell r="A197" t="str">
            <v>101-14-50340</v>
          </cell>
          <cell r="B197" t="str">
            <v>Health Care</v>
          </cell>
          <cell r="C197">
            <v>7284</v>
          </cell>
        </row>
        <row r="198">
          <cell r="A198" t="str">
            <v>101-14-60102</v>
          </cell>
          <cell r="B198" t="str">
            <v>Conf. Registrations</v>
          </cell>
          <cell r="C198">
            <v>1387</v>
          </cell>
        </row>
        <row r="199">
          <cell r="A199" t="str">
            <v>101-14-60110</v>
          </cell>
          <cell r="B199" t="str">
            <v>Per Diem</v>
          </cell>
          <cell r="C199">
            <v>953</v>
          </cell>
        </row>
        <row r="200">
          <cell r="A200" t="str">
            <v>101-14-62400</v>
          </cell>
          <cell r="B200" t="str">
            <v>Professional Services</v>
          </cell>
          <cell r="C200">
            <v>15561</v>
          </cell>
        </row>
        <row r="201">
          <cell r="A201" t="str">
            <v>101-14-63100</v>
          </cell>
          <cell r="B201" t="str">
            <v>Supplies</v>
          </cell>
          <cell r="C201">
            <v>970</v>
          </cell>
        </row>
        <row r="202">
          <cell r="A202" t="str">
            <v>101-14-63800</v>
          </cell>
          <cell r="B202" t="str">
            <v>IT Services</v>
          </cell>
          <cell r="C202">
            <v>230</v>
          </cell>
        </row>
        <row r="203">
          <cell r="A203" t="str">
            <v>101-14-72000</v>
          </cell>
          <cell r="B203" t="str">
            <v>Charges/Penalties/Fees</v>
          </cell>
          <cell r="C203">
            <v>8470</v>
          </cell>
        </row>
      </sheetData>
      <sheetData sheetId="6">
        <row r="1">
          <cell r="A1" t="str">
            <v>101-40000</v>
          </cell>
          <cell r="B1" t="str">
            <v>Motor Vehicle Registration Tax</v>
          </cell>
          <cell r="C1">
            <v>9942</v>
          </cell>
        </row>
        <row r="2">
          <cell r="A2" t="str">
            <v>101-40100</v>
          </cell>
          <cell r="B2" t="str">
            <v>Franchise Fees</v>
          </cell>
          <cell r="C2">
            <v>101770</v>
          </cell>
        </row>
        <row r="3">
          <cell r="A3" t="str">
            <v>101-40101</v>
          </cell>
          <cell r="B3" t="str">
            <v>Small Cities Assistance</v>
          </cell>
          <cell r="C3">
            <v>185155</v>
          </cell>
        </row>
        <row r="4">
          <cell r="A4" t="str">
            <v>101-40102</v>
          </cell>
          <cell r="B4" t="str">
            <v>FIREWORK FEES</v>
          </cell>
          <cell r="C4">
            <v>18782</v>
          </cell>
        </row>
        <row r="5">
          <cell r="A5" t="str">
            <v>101-41500</v>
          </cell>
          <cell r="B5" t="str">
            <v>GRT - Local</v>
          </cell>
          <cell r="C5">
            <v>532881</v>
          </cell>
        </row>
        <row r="6">
          <cell r="A6" t="str">
            <v>101-41510</v>
          </cell>
          <cell r="B6" t="str">
            <v>GRT INFRASTRUCTURE</v>
          </cell>
          <cell r="C6">
            <v>51911</v>
          </cell>
        </row>
        <row r="7">
          <cell r="A7" t="str">
            <v>101-41520</v>
          </cell>
          <cell r="B7" t="str">
            <v>GRT STATE</v>
          </cell>
          <cell r="C7">
            <v>557992</v>
          </cell>
        </row>
        <row r="8">
          <cell r="A8" t="str">
            <v>101-41530</v>
          </cell>
          <cell r="B8" t="str">
            <v>GRT INTERSTATE TELECOM</v>
          </cell>
          <cell r="C8">
            <v>1403</v>
          </cell>
        </row>
        <row r="9">
          <cell r="A9" t="str">
            <v>101-41540</v>
          </cell>
          <cell r="B9" t="str">
            <v>GRT MUNI EQUIV DIST</v>
          </cell>
          <cell r="C9">
            <v>4251</v>
          </cell>
        </row>
        <row r="10">
          <cell r="A10" t="str">
            <v>101-41600</v>
          </cell>
          <cell r="B10" t="str">
            <v>IRB CN Wire / VCST PILOT</v>
          </cell>
          <cell r="C10">
            <v>20862</v>
          </cell>
        </row>
        <row r="11">
          <cell r="A11" t="str">
            <v>101-41800</v>
          </cell>
          <cell r="B11" t="str">
            <v>Animal License Permits</v>
          </cell>
          <cell r="C11">
            <v>3026</v>
          </cell>
        </row>
        <row r="12">
          <cell r="A12" t="str">
            <v>101-42000</v>
          </cell>
          <cell r="B12" t="str">
            <v>Liquor License</v>
          </cell>
          <cell r="C12">
            <v>500</v>
          </cell>
        </row>
        <row r="13">
          <cell r="A13" t="str">
            <v>101-42200</v>
          </cell>
          <cell r="B13" t="str">
            <v>Business Application Permit</v>
          </cell>
          <cell r="C13">
            <v>4440</v>
          </cell>
        </row>
        <row r="14">
          <cell r="A14" t="str">
            <v>101-42201</v>
          </cell>
          <cell r="B14" t="str">
            <v>FOOD VENDOR PERMIT</v>
          </cell>
          <cell r="C14">
            <v>50</v>
          </cell>
        </row>
        <row r="15">
          <cell r="A15" t="str">
            <v>101-42202</v>
          </cell>
          <cell r="B15" t="str">
            <v>Event Permits</v>
          </cell>
          <cell r="C15">
            <v>50</v>
          </cell>
        </row>
        <row r="16">
          <cell r="A16" t="str">
            <v>101-43300</v>
          </cell>
          <cell r="B16" t="str">
            <v>Printing &amp; Copying Fees</v>
          </cell>
          <cell r="C16">
            <v>447</v>
          </cell>
        </row>
        <row r="17">
          <cell r="A17" t="str">
            <v>101-43302</v>
          </cell>
          <cell r="B17" t="str">
            <v>MVD FEES</v>
          </cell>
          <cell r="C17">
            <v>81624</v>
          </cell>
        </row>
        <row r="18">
          <cell r="A18" t="str">
            <v>101-43303</v>
          </cell>
          <cell r="B18" t="str">
            <v>Motor Vehicle Agent Allotment</v>
          </cell>
          <cell r="C18">
            <v>38178</v>
          </cell>
        </row>
        <row r="19">
          <cell r="A19" t="str">
            <v>101-44100</v>
          </cell>
          <cell r="B19" t="str">
            <v>Court Fines</v>
          </cell>
          <cell r="C19">
            <v>31396</v>
          </cell>
        </row>
        <row r="20">
          <cell r="A20" t="str">
            <v>101-48501</v>
          </cell>
          <cell r="B20" t="str">
            <v>FACILITIES RENTAL FEE</v>
          </cell>
          <cell r="C20">
            <v>309</v>
          </cell>
        </row>
        <row r="21">
          <cell r="A21" t="str">
            <v>101-48900</v>
          </cell>
          <cell r="B21" t="str">
            <v>Recreation Income</v>
          </cell>
          <cell r="C21">
            <v>161</v>
          </cell>
        </row>
        <row r="22">
          <cell r="A22" t="str">
            <v>101-48901</v>
          </cell>
          <cell r="B22" t="str">
            <v>RENT INCOME</v>
          </cell>
          <cell r="C22">
            <v>48456</v>
          </cell>
        </row>
        <row r="23">
          <cell r="A23" t="str">
            <v>101-51000</v>
          </cell>
          <cell r="B23" t="str">
            <v>TRANSFER IN</v>
          </cell>
          <cell r="C23">
            <v>3082</v>
          </cell>
        </row>
        <row r="24">
          <cell r="A24" t="str">
            <v>101-64700</v>
          </cell>
          <cell r="B24" t="str">
            <v>MISCELLANEOUS REVENUE</v>
          </cell>
          <cell r="C24">
            <v>1001</v>
          </cell>
        </row>
        <row r="25">
          <cell r="A25" t="str">
            <v>101-01-50100</v>
          </cell>
          <cell r="B25" t="str">
            <v>Elected Officials</v>
          </cell>
          <cell r="C25">
            <v>12550</v>
          </cell>
        </row>
        <row r="26">
          <cell r="A26" t="str">
            <v>101-01-50300</v>
          </cell>
          <cell r="B26" t="str">
            <v>FICA-Medicare</v>
          </cell>
          <cell r="C26">
            <v>961</v>
          </cell>
        </row>
        <row r="27">
          <cell r="A27" t="str">
            <v>101-01-50310</v>
          </cell>
          <cell r="B27" t="str">
            <v>State Unemployment</v>
          </cell>
          <cell r="C27">
            <v>10</v>
          </cell>
        </row>
        <row r="28">
          <cell r="A28" t="str">
            <v>101-01-50360</v>
          </cell>
          <cell r="B28" t="str">
            <v>Civil Liability Insurance</v>
          </cell>
          <cell r="C28">
            <v>21612</v>
          </cell>
        </row>
        <row r="29">
          <cell r="A29" t="str">
            <v>101-01-50370</v>
          </cell>
          <cell r="B29" t="str">
            <v>Workers Compensation Ins.</v>
          </cell>
          <cell r="C29">
            <v>25434</v>
          </cell>
        </row>
        <row r="30">
          <cell r="A30" t="str">
            <v>101-01-50380</v>
          </cell>
          <cell r="B30" t="str">
            <v>Property Insurance</v>
          </cell>
          <cell r="C30">
            <v>8689</v>
          </cell>
        </row>
        <row r="31">
          <cell r="A31" t="str">
            <v>101-01-50400</v>
          </cell>
          <cell r="B31" t="str">
            <v>Auto Liability Insurance</v>
          </cell>
          <cell r="C31">
            <v>9411</v>
          </cell>
        </row>
        <row r="32">
          <cell r="A32" t="str">
            <v>101-01-60100</v>
          </cell>
          <cell r="B32" t="str">
            <v>Mileage Reimbursement</v>
          </cell>
          <cell r="C32">
            <v>0</v>
          </cell>
        </row>
        <row r="33">
          <cell r="A33" t="str">
            <v>101-01-60102</v>
          </cell>
          <cell r="B33" t="str">
            <v>Conf. Registrations</v>
          </cell>
          <cell r="C33">
            <v>1488</v>
          </cell>
        </row>
        <row r="34">
          <cell r="A34" t="str">
            <v>101-01-60110</v>
          </cell>
          <cell r="B34" t="str">
            <v>Per Diem</v>
          </cell>
          <cell r="C34">
            <v>2077</v>
          </cell>
        </row>
        <row r="35">
          <cell r="A35" t="str">
            <v>101-01-62400</v>
          </cell>
          <cell r="B35" t="str">
            <v>Professional Services</v>
          </cell>
          <cell r="C35">
            <v>32704</v>
          </cell>
        </row>
        <row r="36">
          <cell r="A36" t="str">
            <v>101-01-62900</v>
          </cell>
          <cell r="B36" t="str">
            <v>Rent Expense</v>
          </cell>
          <cell r="C36">
            <v>48147</v>
          </cell>
        </row>
        <row r="37">
          <cell r="A37" t="str">
            <v>101-01-63100</v>
          </cell>
          <cell r="B37" t="str">
            <v>Supplies</v>
          </cell>
          <cell r="C37">
            <v>1252</v>
          </cell>
        </row>
        <row r="38">
          <cell r="A38" t="str">
            <v>101-01-63700</v>
          </cell>
          <cell r="B38" t="str">
            <v>Water</v>
          </cell>
          <cell r="C38">
            <v>319</v>
          </cell>
        </row>
        <row r="39">
          <cell r="A39" t="str">
            <v>101-01-70600</v>
          </cell>
          <cell r="B39" t="str">
            <v>Election Expenses - City Clerk</v>
          </cell>
          <cell r="C39">
            <v>350</v>
          </cell>
        </row>
        <row r="40">
          <cell r="A40" t="str">
            <v>101-01-70900</v>
          </cell>
          <cell r="B40" t="str">
            <v>Printing/Publishing/Advertising</v>
          </cell>
          <cell r="C40">
            <v>158</v>
          </cell>
        </row>
        <row r="41">
          <cell r="A41" t="str">
            <v>101-01-71300</v>
          </cell>
          <cell r="B41" t="str">
            <v>Subscriptions/Dues</v>
          </cell>
          <cell r="C41">
            <v>4992</v>
          </cell>
        </row>
        <row r="42">
          <cell r="A42" t="str">
            <v>101-01-71500</v>
          </cell>
          <cell r="B42" t="str">
            <v>Fuel</v>
          </cell>
          <cell r="C42">
            <v>7352</v>
          </cell>
        </row>
        <row r="43">
          <cell r="A43" t="str">
            <v>101-01-71600</v>
          </cell>
          <cell r="B43" t="str">
            <v>Telephone</v>
          </cell>
          <cell r="C43">
            <v>5683</v>
          </cell>
        </row>
        <row r="44">
          <cell r="A44" t="str">
            <v>101-01-71700</v>
          </cell>
          <cell r="B44" t="str">
            <v>Utilities</v>
          </cell>
          <cell r="C44">
            <v>30497</v>
          </cell>
        </row>
        <row r="45">
          <cell r="A45" t="str">
            <v>101-01-91200</v>
          </cell>
          <cell r="B45" t="str">
            <v>Cap Equip &amp; Mach</v>
          </cell>
          <cell r="C45">
            <v>107</v>
          </cell>
        </row>
        <row r="46">
          <cell r="A46" t="str">
            <v>101-01-91900</v>
          </cell>
          <cell r="B46" t="str">
            <v>Capital Outlay</v>
          </cell>
          <cell r="C46">
            <v>7919</v>
          </cell>
        </row>
        <row r="47">
          <cell r="A47" t="str">
            <v>101-02-50100</v>
          </cell>
          <cell r="B47" t="str">
            <v>Elected Officials</v>
          </cell>
          <cell r="C47">
            <v>13566</v>
          </cell>
        </row>
        <row r="48">
          <cell r="A48" t="str">
            <v>101-02-50300</v>
          </cell>
          <cell r="B48" t="str">
            <v>FICA-Medicare</v>
          </cell>
          <cell r="C48">
            <v>1052</v>
          </cell>
        </row>
        <row r="49">
          <cell r="A49" t="str">
            <v>101-02-60100</v>
          </cell>
          <cell r="B49" t="str">
            <v>Mileage Reimbursement</v>
          </cell>
          <cell r="C49">
            <v>0</v>
          </cell>
        </row>
        <row r="50">
          <cell r="A50" t="str">
            <v>101-02-60102</v>
          </cell>
          <cell r="B50" t="str">
            <v>Conf. Registrations</v>
          </cell>
          <cell r="C50">
            <v>2399</v>
          </cell>
        </row>
        <row r="51">
          <cell r="A51" t="str">
            <v>101-02-60110</v>
          </cell>
          <cell r="B51" t="str">
            <v>Per Diem</v>
          </cell>
          <cell r="C51">
            <v>2748</v>
          </cell>
        </row>
        <row r="52">
          <cell r="A52" t="str">
            <v>101-02-63100</v>
          </cell>
          <cell r="B52" t="str">
            <v>Supplies</v>
          </cell>
          <cell r="C52">
            <v>48</v>
          </cell>
        </row>
        <row r="53">
          <cell r="A53" t="str">
            <v>101-02-70900</v>
          </cell>
          <cell r="B53" t="str">
            <v>Printing/Publishing/Advertising</v>
          </cell>
          <cell r="C53">
            <v>0</v>
          </cell>
        </row>
        <row r="54">
          <cell r="A54" t="str">
            <v>101-02-71300</v>
          </cell>
          <cell r="B54" t="str">
            <v>Subscriptions/Dues</v>
          </cell>
          <cell r="C54">
            <v>105</v>
          </cell>
        </row>
        <row r="55">
          <cell r="A55" t="str">
            <v>101-03-50200</v>
          </cell>
          <cell r="B55" t="str">
            <v>Full Time Exempt</v>
          </cell>
          <cell r="C55">
            <v>44674</v>
          </cell>
        </row>
        <row r="56">
          <cell r="A56" t="str">
            <v>101-03-50201</v>
          </cell>
          <cell r="B56" t="str">
            <v>Full Time Classified</v>
          </cell>
          <cell r="C56">
            <v>92975</v>
          </cell>
        </row>
        <row r="57">
          <cell r="A57" t="str">
            <v>101-03-50300</v>
          </cell>
          <cell r="B57" t="str">
            <v>FICA-Medicare</v>
          </cell>
          <cell r="C57">
            <v>2862</v>
          </cell>
        </row>
        <row r="58">
          <cell r="A58" t="str">
            <v>101-03-50310</v>
          </cell>
          <cell r="B58" t="str">
            <v>State Unemployment</v>
          </cell>
          <cell r="C58">
            <v>3856</v>
          </cell>
        </row>
        <row r="59">
          <cell r="A59" t="str">
            <v>101-03-50320</v>
          </cell>
          <cell r="B59" t="str">
            <v>Retirement Contributions</v>
          </cell>
          <cell r="C59">
            <v>10170</v>
          </cell>
        </row>
        <row r="60">
          <cell r="A60" t="str">
            <v>101-03-50335</v>
          </cell>
          <cell r="B60" t="str">
            <v>Workers Comp Fee</v>
          </cell>
          <cell r="C60">
            <v>44</v>
          </cell>
        </row>
        <row r="61">
          <cell r="A61" t="str">
            <v>101-03-50340</v>
          </cell>
          <cell r="B61" t="str">
            <v>Health Care</v>
          </cell>
          <cell r="C61">
            <v>3139</v>
          </cell>
        </row>
        <row r="62">
          <cell r="A62" t="str">
            <v>101-03-60102</v>
          </cell>
          <cell r="B62" t="str">
            <v>Conf. Registrations</v>
          </cell>
          <cell r="C62">
            <v>1040</v>
          </cell>
        </row>
        <row r="63">
          <cell r="A63" t="str">
            <v>101-03-60110</v>
          </cell>
          <cell r="B63" t="str">
            <v>Per Diem</v>
          </cell>
          <cell r="C63">
            <v>3064</v>
          </cell>
        </row>
        <row r="64">
          <cell r="A64" t="str">
            <v>101-03-61110</v>
          </cell>
          <cell r="B64" t="str">
            <v>Office Equipment</v>
          </cell>
          <cell r="C64">
            <v>3009</v>
          </cell>
        </row>
        <row r="65">
          <cell r="A65" t="str">
            <v>101-03-62400</v>
          </cell>
          <cell r="B65" t="str">
            <v>Professional Services - Audit</v>
          </cell>
          <cell r="C65">
            <v>13696</v>
          </cell>
        </row>
        <row r="66">
          <cell r="A66" t="str">
            <v>101-03-63000</v>
          </cell>
          <cell r="B66" t="str">
            <v>Other Contractual Svcs - Tyler Maint</v>
          </cell>
          <cell r="C66">
            <v>20463</v>
          </cell>
        </row>
        <row r="67">
          <cell r="A67" t="str">
            <v>101-03-63100</v>
          </cell>
          <cell r="B67" t="str">
            <v>Supplies</v>
          </cell>
          <cell r="C67">
            <v>3465</v>
          </cell>
        </row>
        <row r="68">
          <cell r="A68" t="str">
            <v>101-03-63800</v>
          </cell>
          <cell r="B68" t="str">
            <v>IT Services</v>
          </cell>
          <cell r="C68">
            <v>2219</v>
          </cell>
        </row>
        <row r="69">
          <cell r="A69" t="str">
            <v>101-03-70600</v>
          </cell>
          <cell r="B69" t="str">
            <v>Election Expenses - City Clerk</v>
          </cell>
          <cell r="C69">
            <v>2703</v>
          </cell>
        </row>
        <row r="70">
          <cell r="A70" t="str">
            <v>101-03-70800</v>
          </cell>
          <cell r="B70" t="str">
            <v>Postage &amp; Mail Services</v>
          </cell>
          <cell r="C70">
            <v>1628</v>
          </cell>
        </row>
        <row r="71">
          <cell r="A71" t="str">
            <v>101-03-70900</v>
          </cell>
          <cell r="B71" t="str">
            <v>Printing/Publishing/Advertising</v>
          </cell>
          <cell r="C71">
            <v>1142</v>
          </cell>
        </row>
        <row r="72">
          <cell r="A72" t="str">
            <v>101-03-71200</v>
          </cell>
          <cell r="B72" t="str">
            <v>Rent of Equipmen Copier</v>
          </cell>
          <cell r="C72">
            <v>4652</v>
          </cell>
        </row>
        <row r="73">
          <cell r="A73" t="str">
            <v>101-03-71300</v>
          </cell>
          <cell r="B73" t="str">
            <v>Subscriptions/Dues</v>
          </cell>
          <cell r="C73">
            <v>110</v>
          </cell>
        </row>
        <row r="74">
          <cell r="A74" t="str">
            <v>101-03-71600</v>
          </cell>
          <cell r="B74" t="str">
            <v>Telephone</v>
          </cell>
          <cell r="C74">
            <v>5892</v>
          </cell>
        </row>
        <row r="75">
          <cell r="A75" t="str">
            <v>101-03-72000</v>
          </cell>
          <cell r="B75" t="str">
            <v>Bank Charge Fees</v>
          </cell>
          <cell r="C75">
            <v>457</v>
          </cell>
        </row>
        <row r="76">
          <cell r="A76" t="str">
            <v>101-03-91200</v>
          </cell>
          <cell r="B76" t="str">
            <v>Cap Equip &amp; Mach</v>
          </cell>
          <cell r="C76">
            <v>0</v>
          </cell>
        </row>
        <row r="77">
          <cell r="A77" t="str">
            <v>101-03-91900</v>
          </cell>
          <cell r="B77" t="str">
            <v>Capital Outlay</v>
          </cell>
          <cell r="C77">
            <v>207</v>
          </cell>
        </row>
        <row r="78">
          <cell r="A78" t="str">
            <v>101-04-50100</v>
          </cell>
          <cell r="B78" t="str">
            <v>Elected Officials</v>
          </cell>
          <cell r="C78">
            <v>9600</v>
          </cell>
        </row>
        <row r="79">
          <cell r="A79" t="str">
            <v>101-04-50201</v>
          </cell>
          <cell r="B79" t="str">
            <v>Full Time Classified</v>
          </cell>
          <cell r="C79">
            <v>27502</v>
          </cell>
        </row>
        <row r="80">
          <cell r="A80" t="str">
            <v>101-04-50202</v>
          </cell>
          <cell r="B80" t="str">
            <v>Part Time Classified</v>
          </cell>
          <cell r="C80">
            <v>22304</v>
          </cell>
        </row>
        <row r="81">
          <cell r="A81" t="str">
            <v>101-04-50300</v>
          </cell>
          <cell r="B81" t="str">
            <v>FICA-Medicare</v>
          </cell>
          <cell r="C81">
            <v>3053</v>
          </cell>
        </row>
        <row r="82">
          <cell r="A82" t="str">
            <v>101-04-50310</v>
          </cell>
          <cell r="B82" t="str">
            <v>State Unemployment</v>
          </cell>
          <cell r="C82">
            <v>1710</v>
          </cell>
        </row>
        <row r="83">
          <cell r="A83" t="str">
            <v>101-04-50320</v>
          </cell>
          <cell r="B83" t="str">
            <v>Retirement Contributions</v>
          </cell>
          <cell r="C83">
            <v>1765</v>
          </cell>
        </row>
        <row r="84">
          <cell r="A84" t="str">
            <v>101-04-50335</v>
          </cell>
          <cell r="B84" t="str">
            <v>Workers Comp Fee</v>
          </cell>
          <cell r="C84">
            <v>28</v>
          </cell>
        </row>
        <row r="85">
          <cell r="A85" t="str">
            <v>101-04-50340</v>
          </cell>
          <cell r="B85" t="str">
            <v>Health Care</v>
          </cell>
          <cell r="C85">
            <v>1977</v>
          </cell>
        </row>
        <row r="86">
          <cell r="A86" t="str">
            <v>101-04-60102</v>
          </cell>
          <cell r="B86" t="str">
            <v>Conf. Registrations</v>
          </cell>
          <cell r="C86">
            <v>395</v>
          </cell>
        </row>
        <row r="87">
          <cell r="A87" t="str">
            <v>101-04-60110</v>
          </cell>
          <cell r="B87" t="str">
            <v>Per Diem</v>
          </cell>
          <cell r="C87">
            <v>1698</v>
          </cell>
        </row>
        <row r="88">
          <cell r="A88" t="str">
            <v>101-04-62400</v>
          </cell>
          <cell r="B88" t="str">
            <v>Professional Services</v>
          </cell>
          <cell r="C88">
            <v>945</v>
          </cell>
        </row>
        <row r="89">
          <cell r="A89" t="str">
            <v>101-04-62500</v>
          </cell>
          <cell r="B89" t="str">
            <v>Other Contr Svcs</v>
          </cell>
          <cell r="C89">
            <v>3655</v>
          </cell>
        </row>
        <row r="90">
          <cell r="A90" t="str">
            <v>101-04-63100</v>
          </cell>
          <cell r="B90" t="str">
            <v>Supplies</v>
          </cell>
          <cell r="C90">
            <v>1809</v>
          </cell>
        </row>
        <row r="91">
          <cell r="A91" t="str">
            <v>101-04-63700</v>
          </cell>
          <cell r="B91" t="str">
            <v>Water</v>
          </cell>
          <cell r="C91">
            <v>306</v>
          </cell>
        </row>
        <row r="92">
          <cell r="A92" t="str">
            <v>101-04-70800</v>
          </cell>
          <cell r="B92" t="str">
            <v>Postage &amp; Mail Services</v>
          </cell>
          <cell r="C92">
            <v>754</v>
          </cell>
        </row>
        <row r="93">
          <cell r="A93" t="str">
            <v>101-04-70900</v>
          </cell>
          <cell r="B93" t="str">
            <v>Printing/Publishing/Advertising</v>
          </cell>
          <cell r="C93">
            <v>133</v>
          </cell>
        </row>
        <row r="94">
          <cell r="A94" t="str">
            <v>101-04-71300</v>
          </cell>
          <cell r="B94" t="str">
            <v>Subscriptions/Dues</v>
          </cell>
          <cell r="C94">
            <v>120</v>
          </cell>
        </row>
        <row r="95">
          <cell r="A95" t="str">
            <v>101-04-71600</v>
          </cell>
          <cell r="B95" t="str">
            <v>Telephone</v>
          </cell>
          <cell r="C95">
            <v>2866</v>
          </cell>
        </row>
        <row r="96">
          <cell r="A96" t="str">
            <v>101-04-72000</v>
          </cell>
          <cell r="B96" t="str">
            <v>Bank Charges/Credit Card Fees</v>
          </cell>
          <cell r="C96">
            <v>150</v>
          </cell>
        </row>
        <row r="97">
          <cell r="A97" t="str">
            <v>101-05-50200</v>
          </cell>
          <cell r="B97" t="str">
            <v>Full Time Exempt</v>
          </cell>
          <cell r="C97">
            <v>24394</v>
          </cell>
        </row>
        <row r="98">
          <cell r="A98" t="str">
            <v>101-05-50201</v>
          </cell>
          <cell r="B98" t="str">
            <v>Full Time Classified</v>
          </cell>
          <cell r="C98">
            <v>220445</v>
          </cell>
        </row>
        <row r="99">
          <cell r="A99" t="str">
            <v>101-05-50230</v>
          </cell>
          <cell r="B99" t="str">
            <v>Overtime FT Class Police</v>
          </cell>
          <cell r="C99">
            <v>14894</v>
          </cell>
        </row>
        <row r="100">
          <cell r="A100" t="str">
            <v>101-05-50300</v>
          </cell>
          <cell r="B100" t="str">
            <v>FICA-Medicare</v>
          </cell>
          <cell r="C100">
            <v>6196</v>
          </cell>
        </row>
        <row r="101">
          <cell r="A101" t="str">
            <v>101-05-50310</v>
          </cell>
          <cell r="B101" t="str">
            <v>State Unemployment</v>
          </cell>
          <cell r="C101">
            <v>6030</v>
          </cell>
        </row>
        <row r="102">
          <cell r="A102" t="str">
            <v>101-05-50320</v>
          </cell>
          <cell r="B102" t="str">
            <v>Retirement Contributions</v>
          </cell>
          <cell r="C102">
            <v>20087</v>
          </cell>
        </row>
        <row r="103">
          <cell r="A103" t="str">
            <v>101-05-50335</v>
          </cell>
          <cell r="B103" t="str">
            <v>Workers Comp Fee</v>
          </cell>
          <cell r="C103">
            <v>67</v>
          </cell>
        </row>
        <row r="104">
          <cell r="A104" t="str">
            <v>101-05-50340</v>
          </cell>
          <cell r="B104" t="str">
            <v>Health Care</v>
          </cell>
          <cell r="C104">
            <v>25566</v>
          </cell>
        </row>
        <row r="105">
          <cell r="A105" t="str">
            <v>101-05-60102</v>
          </cell>
          <cell r="B105" t="str">
            <v>Conf. Registrations</v>
          </cell>
          <cell r="C105">
            <v>293</v>
          </cell>
        </row>
        <row r="106">
          <cell r="A106" t="str">
            <v>101-05-60110</v>
          </cell>
          <cell r="B106" t="str">
            <v>Per Diem</v>
          </cell>
          <cell r="C106">
            <v>4083</v>
          </cell>
        </row>
        <row r="107">
          <cell r="A107" t="str">
            <v>101-05-61110</v>
          </cell>
          <cell r="B107" t="str">
            <v>Maintenance Vehicle</v>
          </cell>
          <cell r="C107">
            <v>5174</v>
          </cell>
        </row>
        <row r="108">
          <cell r="A108" t="str">
            <v>101-05-62400</v>
          </cell>
          <cell r="B108" t="str">
            <v>Professional Services</v>
          </cell>
          <cell r="C108">
            <v>6246</v>
          </cell>
        </row>
        <row r="109">
          <cell r="A109" t="str">
            <v>101-05-62600</v>
          </cell>
          <cell r="B109" t="str">
            <v>Medical/Psych Tests</v>
          </cell>
          <cell r="C109">
            <v>988</v>
          </cell>
        </row>
        <row r="110">
          <cell r="A110" t="str">
            <v>101-05-63100</v>
          </cell>
          <cell r="B110" t="str">
            <v>Supplies</v>
          </cell>
          <cell r="C110">
            <v>2042</v>
          </cell>
        </row>
        <row r="111">
          <cell r="A111" t="str">
            <v>101-05-63400</v>
          </cell>
          <cell r="B111" t="str">
            <v>Uniforms</v>
          </cell>
          <cell r="C111">
            <v>1706</v>
          </cell>
        </row>
        <row r="112">
          <cell r="A112" t="str">
            <v>101-05-63600</v>
          </cell>
          <cell r="B112" t="str">
            <v>Ammunition</v>
          </cell>
          <cell r="C112">
            <v>0</v>
          </cell>
        </row>
        <row r="113">
          <cell r="A113" t="str">
            <v>101-05-70200</v>
          </cell>
          <cell r="B113" t="str">
            <v>Dispatch Services/MVRDA</v>
          </cell>
          <cell r="C113">
            <v>83161</v>
          </cell>
        </row>
        <row r="114">
          <cell r="A114" t="str">
            <v>101-05-70300</v>
          </cell>
          <cell r="B114" t="str">
            <v>Care of Prisioners</v>
          </cell>
          <cell r="C114">
            <v>13247</v>
          </cell>
        </row>
        <row r="115">
          <cell r="A115" t="str">
            <v>101-05-70800</v>
          </cell>
          <cell r="B115" t="str">
            <v>Postage &amp; Mail Services</v>
          </cell>
          <cell r="C115">
            <v>114</v>
          </cell>
        </row>
        <row r="116">
          <cell r="A116" t="str">
            <v>101-05-70900</v>
          </cell>
          <cell r="B116" t="str">
            <v>Printing/Publishing/Advertising</v>
          </cell>
          <cell r="C116">
            <v>516</v>
          </cell>
        </row>
        <row r="117">
          <cell r="A117" t="str">
            <v>101-05-71200</v>
          </cell>
          <cell r="B117" t="str">
            <v>Rent of Equipment/Machinery</v>
          </cell>
          <cell r="C117">
            <v>695</v>
          </cell>
        </row>
        <row r="118">
          <cell r="A118" t="str">
            <v>101-05-71300</v>
          </cell>
          <cell r="B118" t="str">
            <v>Subscriptions/Dues</v>
          </cell>
          <cell r="C118">
            <v>0</v>
          </cell>
        </row>
        <row r="119">
          <cell r="A119" t="str">
            <v>101-05-71500</v>
          </cell>
          <cell r="B119" t="str">
            <v>Fuel</v>
          </cell>
          <cell r="C119">
            <v>14902</v>
          </cell>
        </row>
        <row r="120">
          <cell r="A120" t="str">
            <v>101-05-71600</v>
          </cell>
          <cell r="B120" t="str">
            <v>Telephone</v>
          </cell>
          <cell r="C120">
            <v>1975</v>
          </cell>
        </row>
        <row r="121">
          <cell r="A121" t="str">
            <v>101-05-91950</v>
          </cell>
          <cell r="B121" t="str">
            <v>Other Cap Purchase(Police Units)</v>
          </cell>
          <cell r="C121">
            <v>30000</v>
          </cell>
        </row>
        <row r="122">
          <cell r="A122" t="str">
            <v>101-06-62400</v>
          </cell>
          <cell r="B122" t="str">
            <v>Professional Services</v>
          </cell>
          <cell r="C122">
            <v>3221</v>
          </cell>
        </row>
        <row r="123">
          <cell r="A123" t="str">
            <v>101-06-91900</v>
          </cell>
          <cell r="B123" t="str">
            <v>Capital Outlay</v>
          </cell>
          <cell r="C123">
            <v>12287</v>
          </cell>
        </row>
        <row r="124">
          <cell r="A124" t="str">
            <v>101-07-61100</v>
          </cell>
          <cell r="B124" t="str">
            <v>Maintenance Building/Structure</v>
          </cell>
          <cell r="C124">
            <v>3108</v>
          </cell>
        </row>
        <row r="125">
          <cell r="A125" t="str">
            <v>101-07-63100</v>
          </cell>
          <cell r="B125" t="str">
            <v>Supplies</v>
          </cell>
          <cell r="C125">
            <v>888</v>
          </cell>
        </row>
        <row r="126">
          <cell r="A126" t="str">
            <v>101-07-63400</v>
          </cell>
          <cell r="B126" t="str">
            <v>Uniforms</v>
          </cell>
          <cell r="C126">
            <v>0</v>
          </cell>
        </row>
        <row r="127">
          <cell r="A127" t="str">
            <v>101-07-70000</v>
          </cell>
          <cell r="B127" t="str">
            <v>Recreation Expense</v>
          </cell>
          <cell r="C127">
            <v>0</v>
          </cell>
        </row>
        <row r="128">
          <cell r="A128" t="str">
            <v>101-07-70900</v>
          </cell>
          <cell r="B128" t="str">
            <v>Printing/Publishing/Advertising</v>
          </cell>
          <cell r="C128">
            <v>0</v>
          </cell>
        </row>
        <row r="129">
          <cell r="A129" t="str">
            <v>101-07-71700</v>
          </cell>
          <cell r="B129" t="str">
            <v>Utilities</v>
          </cell>
          <cell r="C129">
            <v>19020</v>
          </cell>
        </row>
        <row r="130">
          <cell r="A130" t="str">
            <v>101-07-91200</v>
          </cell>
          <cell r="B130" t="str">
            <v>Cap Equip &amp; Mach</v>
          </cell>
          <cell r="C130">
            <v>0</v>
          </cell>
        </row>
        <row r="131">
          <cell r="A131" t="str">
            <v>101-08-50201</v>
          </cell>
          <cell r="B131" t="str">
            <v>Full Time Classified</v>
          </cell>
          <cell r="C131">
            <v>91850</v>
          </cell>
        </row>
        <row r="132">
          <cell r="A132" t="str">
            <v>101-08-50230</v>
          </cell>
          <cell r="B132" t="str">
            <v>Overtime Full Time Classified</v>
          </cell>
          <cell r="C132">
            <v>1620</v>
          </cell>
        </row>
        <row r="133">
          <cell r="A133" t="str">
            <v>101-08-50300</v>
          </cell>
          <cell r="B133" t="str">
            <v>FICA-Medicare</v>
          </cell>
          <cell r="C133">
            <v>2186</v>
          </cell>
        </row>
        <row r="134">
          <cell r="A134" t="str">
            <v>101-08-50310</v>
          </cell>
          <cell r="B134" t="str">
            <v>State Unemployment</v>
          </cell>
          <cell r="C134">
            <v>2865</v>
          </cell>
        </row>
        <row r="135">
          <cell r="A135" t="str">
            <v>101-08-50320</v>
          </cell>
          <cell r="B135" t="str">
            <v>Retirement Contributions</v>
          </cell>
          <cell r="C135">
            <v>5640</v>
          </cell>
        </row>
        <row r="136">
          <cell r="A136" t="str">
            <v>101-08-50335</v>
          </cell>
          <cell r="B136" t="str">
            <v>Workers Comp Fee</v>
          </cell>
          <cell r="C136">
            <v>34</v>
          </cell>
        </row>
        <row r="137">
          <cell r="A137" t="str">
            <v>101-08-50340</v>
          </cell>
          <cell r="B137" t="str">
            <v>Health Care</v>
          </cell>
          <cell r="C137">
            <v>7569</v>
          </cell>
        </row>
        <row r="138">
          <cell r="A138" t="str">
            <v>101-08-60102</v>
          </cell>
          <cell r="B138" t="str">
            <v>Conf. Registrations</v>
          </cell>
          <cell r="C138">
            <v>530</v>
          </cell>
        </row>
        <row r="139">
          <cell r="A139" t="str">
            <v>101-08-60110</v>
          </cell>
          <cell r="B139" t="str">
            <v>Per Diem</v>
          </cell>
          <cell r="C139">
            <v>655</v>
          </cell>
        </row>
        <row r="140">
          <cell r="A140" t="str">
            <v>101-08-61110</v>
          </cell>
          <cell r="B140" t="str">
            <v>Maintenance Vehicle</v>
          </cell>
          <cell r="C140">
            <v>2558</v>
          </cell>
        </row>
        <row r="141">
          <cell r="A141" t="str">
            <v>101-08-61300</v>
          </cell>
          <cell r="B141" t="str">
            <v>Maintenance Grounds/Roadways</v>
          </cell>
          <cell r="C141">
            <v>12266</v>
          </cell>
        </row>
        <row r="142">
          <cell r="A142" t="str">
            <v>101-08-61800</v>
          </cell>
          <cell r="B142" t="str">
            <v>Other Maintenance</v>
          </cell>
          <cell r="C142">
            <v>0</v>
          </cell>
        </row>
        <row r="143">
          <cell r="A143" t="str">
            <v>101-08-63100</v>
          </cell>
          <cell r="B143" t="str">
            <v>Supplies</v>
          </cell>
          <cell r="C143">
            <v>4335</v>
          </cell>
        </row>
        <row r="144">
          <cell r="A144" t="str">
            <v>101-08-63200</v>
          </cell>
          <cell r="B144" t="str">
            <v>Non Cap Equipment</v>
          </cell>
          <cell r="C144">
            <v>65</v>
          </cell>
        </row>
        <row r="145">
          <cell r="A145" t="str">
            <v>101-08-63300</v>
          </cell>
          <cell r="B145" t="str">
            <v>Safety Equipment</v>
          </cell>
          <cell r="C145">
            <v>0</v>
          </cell>
        </row>
        <row r="146">
          <cell r="A146" t="str">
            <v>101-08-63400</v>
          </cell>
          <cell r="B146" t="str">
            <v>Uniforms</v>
          </cell>
          <cell r="C146">
            <v>332</v>
          </cell>
        </row>
        <row r="147">
          <cell r="A147" t="str">
            <v>101-08-71200</v>
          </cell>
          <cell r="B147" t="str">
            <v>Rent of Equipment/Machinery</v>
          </cell>
          <cell r="C147">
            <v>0</v>
          </cell>
        </row>
        <row r="148">
          <cell r="A148" t="str">
            <v>101-08-71701</v>
          </cell>
          <cell r="B148" t="str">
            <v>Utilities (Street Lights)</v>
          </cell>
          <cell r="C148">
            <v>26074</v>
          </cell>
        </row>
        <row r="149">
          <cell r="A149" t="str">
            <v>101-08-91100</v>
          </cell>
          <cell r="B149" t="str">
            <v>Equipment/Machinery</v>
          </cell>
          <cell r="C149">
            <v>0</v>
          </cell>
        </row>
        <row r="150">
          <cell r="A150" t="str">
            <v>101-08-91200</v>
          </cell>
          <cell r="B150" t="str">
            <v>Cap Equip - Tractor Mower</v>
          </cell>
          <cell r="C150">
            <v>12452</v>
          </cell>
        </row>
        <row r="151">
          <cell r="A151" t="str">
            <v>101-08-91400</v>
          </cell>
          <cell r="B151" t="str">
            <v>Community Assistance Expense</v>
          </cell>
          <cell r="C151">
            <v>1300</v>
          </cell>
        </row>
        <row r="152">
          <cell r="A152" t="str">
            <v>101-08-91900</v>
          </cell>
          <cell r="B152" t="str">
            <v>Capital Outlay</v>
          </cell>
          <cell r="C152">
            <v>7940</v>
          </cell>
        </row>
        <row r="153">
          <cell r="A153" t="str">
            <v>101-09-50201</v>
          </cell>
          <cell r="B153" t="str">
            <v>Full Time Classified</v>
          </cell>
          <cell r="C153">
            <v>14776</v>
          </cell>
        </row>
        <row r="154">
          <cell r="A154" t="str">
            <v>101-09-50300</v>
          </cell>
          <cell r="B154" t="str">
            <v>FICA-Medicare</v>
          </cell>
          <cell r="C154">
            <v>845</v>
          </cell>
        </row>
        <row r="155">
          <cell r="A155" t="str">
            <v>101-09-50310</v>
          </cell>
          <cell r="B155" t="str">
            <v>State Unemployment</v>
          </cell>
          <cell r="C155">
            <v>411</v>
          </cell>
        </row>
        <row r="156">
          <cell r="A156" t="str">
            <v>101-09-50320</v>
          </cell>
          <cell r="B156" t="str">
            <v>Retirement Contributions</v>
          </cell>
          <cell r="C156">
            <v>311</v>
          </cell>
        </row>
        <row r="157">
          <cell r="A157" t="str">
            <v>101-09-50335</v>
          </cell>
          <cell r="B157" t="str">
            <v>Workers Comp Fee</v>
          </cell>
          <cell r="C157">
            <v>4</v>
          </cell>
        </row>
        <row r="158">
          <cell r="A158" t="str">
            <v>101-09-50340</v>
          </cell>
          <cell r="B158" t="str">
            <v>Health Care</v>
          </cell>
          <cell r="C158">
            <v>920</v>
          </cell>
        </row>
        <row r="159">
          <cell r="A159" t="str">
            <v>101-09-60102</v>
          </cell>
          <cell r="B159" t="str">
            <v>Conf. Registrations</v>
          </cell>
          <cell r="C159">
            <v>0</v>
          </cell>
        </row>
        <row r="160">
          <cell r="A160" t="str">
            <v>101-09-60110</v>
          </cell>
          <cell r="B160" t="str">
            <v>Per Diem</v>
          </cell>
          <cell r="C160">
            <v>0</v>
          </cell>
        </row>
        <row r="161">
          <cell r="A161" t="str">
            <v>101-09-63100</v>
          </cell>
          <cell r="B161" t="str">
            <v>Supplies</v>
          </cell>
          <cell r="C161">
            <v>1061</v>
          </cell>
        </row>
        <row r="162">
          <cell r="A162" t="str">
            <v>101-09-63400</v>
          </cell>
          <cell r="B162" t="str">
            <v>Uniforms</v>
          </cell>
          <cell r="C162">
            <v>0</v>
          </cell>
        </row>
        <row r="163">
          <cell r="A163" t="str">
            <v>101-09-91200</v>
          </cell>
          <cell r="B163" t="str">
            <v>Cap Equip/Machinery</v>
          </cell>
          <cell r="C163">
            <v>0</v>
          </cell>
        </row>
        <row r="164">
          <cell r="A164" t="str">
            <v>101-10-50200</v>
          </cell>
          <cell r="B164" t="str">
            <v>Full Time Exempt</v>
          </cell>
          <cell r="C164">
            <v>-1</v>
          </cell>
        </row>
        <row r="165">
          <cell r="A165" t="str">
            <v>101-10-50201</v>
          </cell>
          <cell r="B165" t="str">
            <v>Full Time Classified</v>
          </cell>
          <cell r="C165">
            <v>38373</v>
          </cell>
        </row>
        <row r="166">
          <cell r="A166" t="str">
            <v>101-10-50202</v>
          </cell>
          <cell r="B166" t="str">
            <v>Part Time Classified</v>
          </cell>
          <cell r="C166">
            <v>13086</v>
          </cell>
        </row>
        <row r="167">
          <cell r="A167" t="str">
            <v>101-10-50300</v>
          </cell>
          <cell r="B167" t="str">
            <v>FICA-MEDICARE</v>
          </cell>
          <cell r="C167">
            <v>2069</v>
          </cell>
        </row>
        <row r="168">
          <cell r="A168" t="str">
            <v>101-10-50310</v>
          </cell>
          <cell r="B168" t="str">
            <v>State Unemployment</v>
          </cell>
          <cell r="C168">
            <v>1540</v>
          </cell>
        </row>
        <row r="169">
          <cell r="A169" t="str">
            <v>101-10-50320</v>
          </cell>
          <cell r="B169" t="str">
            <v>Retirement Contributions</v>
          </cell>
          <cell r="C169">
            <v>2228</v>
          </cell>
        </row>
        <row r="170">
          <cell r="A170" t="str">
            <v>101-10-50335</v>
          </cell>
          <cell r="B170" t="str">
            <v>Workers Comp Fee</v>
          </cell>
          <cell r="C170">
            <v>21</v>
          </cell>
        </row>
        <row r="171">
          <cell r="A171" t="str">
            <v>101-10-50340</v>
          </cell>
          <cell r="B171" t="str">
            <v>Health Care</v>
          </cell>
          <cell r="C171">
            <v>0</v>
          </cell>
        </row>
        <row r="172">
          <cell r="A172" t="str">
            <v>101-10-60102</v>
          </cell>
          <cell r="B172" t="str">
            <v>Conf. Registrations</v>
          </cell>
          <cell r="C172">
            <v>0</v>
          </cell>
        </row>
        <row r="173">
          <cell r="A173" t="str">
            <v>101-10-60110</v>
          </cell>
          <cell r="B173" t="str">
            <v>Per Diem</v>
          </cell>
          <cell r="C173">
            <v>0</v>
          </cell>
        </row>
        <row r="174">
          <cell r="A174" t="str">
            <v>101-10-61100</v>
          </cell>
          <cell r="B174" t="str">
            <v>Maintenance Building/Structure</v>
          </cell>
          <cell r="C174">
            <v>1947</v>
          </cell>
        </row>
        <row r="175">
          <cell r="A175" t="str">
            <v>101-10-62400</v>
          </cell>
          <cell r="B175" t="str">
            <v>Professional Services</v>
          </cell>
          <cell r="C175">
            <v>1598</v>
          </cell>
        </row>
        <row r="176">
          <cell r="A176" t="str">
            <v>101-10-63100</v>
          </cell>
          <cell r="B176" t="str">
            <v>Supplies</v>
          </cell>
          <cell r="C176">
            <v>1230</v>
          </cell>
        </row>
        <row r="177">
          <cell r="A177" t="str">
            <v>101-10-63500</v>
          </cell>
          <cell r="B177" t="str">
            <v>Minor Equip</v>
          </cell>
          <cell r="C177">
            <v>0</v>
          </cell>
        </row>
        <row r="178">
          <cell r="A178" t="str">
            <v>101-10-70800</v>
          </cell>
          <cell r="B178" t="str">
            <v>Postage &amp; Mail Svcs</v>
          </cell>
          <cell r="C178">
            <v>299</v>
          </cell>
        </row>
        <row r="179">
          <cell r="A179" t="str">
            <v>101-10-70900</v>
          </cell>
          <cell r="B179" t="str">
            <v>Printing/Publishing/Advertising</v>
          </cell>
          <cell r="C179">
            <v>0</v>
          </cell>
        </row>
        <row r="180">
          <cell r="A180" t="str">
            <v>101-10-71200</v>
          </cell>
          <cell r="B180" t="str">
            <v>Rent of Equipment/Printer Lease</v>
          </cell>
          <cell r="C180">
            <v>1789</v>
          </cell>
        </row>
        <row r="181">
          <cell r="A181" t="str">
            <v>101-10-71300</v>
          </cell>
          <cell r="B181" t="str">
            <v>Subscriptions/Dues</v>
          </cell>
          <cell r="C181">
            <v>250</v>
          </cell>
        </row>
        <row r="182">
          <cell r="A182" t="str">
            <v>101-10-71600</v>
          </cell>
          <cell r="B182" t="str">
            <v>Telephone</v>
          </cell>
          <cell r="C182">
            <v>4003</v>
          </cell>
        </row>
        <row r="183">
          <cell r="A183" t="str">
            <v>101-10-71700</v>
          </cell>
          <cell r="B183" t="str">
            <v>Utilities</v>
          </cell>
          <cell r="C183">
            <v>5594</v>
          </cell>
        </row>
        <row r="184">
          <cell r="A184" t="str">
            <v>101-11-50201</v>
          </cell>
          <cell r="B184" t="str">
            <v>Full Time Classified</v>
          </cell>
          <cell r="C184">
            <v>21454</v>
          </cell>
        </row>
        <row r="185">
          <cell r="A185" t="str">
            <v>101-11-50230</v>
          </cell>
          <cell r="B185" t="str">
            <v>Overtime FT Class Animal Control</v>
          </cell>
          <cell r="C185">
            <v>16</v>
          </cell>
        </row>
        <row r="186">
          <cell r="A186" t="str">
            <v>101-11-50300</v>
          </cell>
          <cell r="B186" t="str">
            <v>FICA-Medicare</v>
          </cell>
          <cell r="C186">
            <v>311</v>
          </cell>
        </row>
        <row r="187">
          <cell r="A187" t="str">
            <v>101-11-50310</v>
          </cell>
          <cell r="B187" t="str">
            <v>Fed Unemployment</v>
          </cell>
          <cell r="C187">
            <v>746</v>
          </cell>
        </row>
        <row r="188">
          <cell r="A188" t="str">
            <v>101-11-50320</v>
          </cell>
          <cell r="B188" t="str">
            <v>Retirement Contributions</v>
          </cell>
          <cell r="C188">
            <v>1563</v>
          </cell>
        </row>
        <row r="189">
          <cell r="A189" t="str">
            <v>101-11-50335</v>
          </cell>
          <cell r="B189" t="str">
            <v>Workers Comp Fee</v>
          </cell>
          <cell r="C189">
            <v>10</v>
          </cell>
        </row>
        <row r="190">
          <cell r="A190" t="str">
            <v>101-11-50340</v>
          </cell>
          <cell r="B190" t="str">
            <v>Health Care</v>
          </cell>
          <cell r="C190">
            <v>0</v>
          </cell>
        </row>
        <row r="191">
          <cell r="A191" t="str">
            <v>101-11-60102</v>
          </cell>
          <cell r="B191" t="str">
            <v>Conf. Registrations</v>
          </cell>
          <cell r="C191">
            <v>1050</v>
          </cell>
        </row>
        <row r="192">
          <cell r="A192" t="str">
            <v>101-11-60110</v>
          </cell>
          <cell r="B192" t="str">
            <v>Per Diem</v>
          </cell>
          <cell r="C192">
            <v>1752</v>
          </cell>
        </row>
        <row r="193">
          <cell r="A193" t="str">
            <v>101-11-61120</v>
          </cell>
          <cell r="B193" t="str">
            <v>Animal Control Expense</v>
          </cell>
          <cell r="C193">
            <v>6764</v>
          </cell>
        </row>
        <row r="194">
          <cell r="A194" t="str">
            <v>101-11-63100</v>
          </cell>
          <cell r="B194" t="str">
            <v>Supplies</v>
          </cell>
          <cell r="C194">
            <v>1258</v>
          </cell>
        </row>
        <row r="195">
          <cell r="A195" t="str">
            <v>101-11-63400</v>
          </cell>
          <cell r="B195" t="str">
            <v>Uniforms</v>
          </cell>
          <cell r="C195">
            <v>141</v>
          </cell>
        </row>
        <row r="196">
          <cell r="A196" t="str">
            <v>101-11-91200</v>
          </cell>
          <cell r="B196" t="str">
            <v>Cap Equip &amp; Mach Exec</v>
          </cell>
          <cell r="C196">
            <v>24019</v>
          </cell>
        </row>
        <row r="197">
          <cell r="A197" t="str">
            <v>101-12-71000</v>
          </cell>
          <cell r="B197" t="str">
            <v>Matching Funds/City Pledge</v>
          </cell>
          <cell r="C197">
            <v>0</v>
          </cell>
        </row>
        <row r="198">
          <cell r="A198" t="str">
            <v>101-12-91900</v>
          </cell>
          <cell r="B198" t="str">
            <v>Capital Outlay</v>
          </cell>
          <cell r="C198">
            <v>53266</v>
          </cell>
        </row>
        <row r="199">
          <cell r="A199" t="str">
            <v>101-13-50201</v>
          </cell>
          <cell r="B199" t="str">
            <v>Full Time Classified</v>
          </cell>
          <cell r="C199">
            <v>11154</v>
          </cell>
        </row>
        <row r="200">
          <cell r="A200" t="str">
            <v>101-13-50202</v>
          </cell>
          <cell r="B200" t="str">
            <v>Full Time Temporary</v>
          </cell>
          <cell r="C200">
            <v>50444</v>
          </cell>
        </row>
        <row r="201">
          <cell r="A201" t="str">
            <v>101-13-50300</v>
          </cell>
          <cell r="B201" t="str">
            <v>FICA-Medicare</v>
          </cell>
          <cell r="C201">
            <v>3113</v>
          </cell>
        </row>
        <row r="202">
          <cell r="A202" t="str">
            <v>101-13-50310</v>
          </cell>
          <cell r="B202" t="str">
            <v>Fed Unemployment</v>
          </cell>
          <cell r="C202">
            <v>1703</v>
          </cell>
        </row>
        <row r="203">
          <cell r="A203" t="str">
            <v>101-13-50320</v>
          </cell>
          <cell r="B203" t="str">
            <v>Retirement Contributions</v>
          </cell>
          <cell r="C203">
            <v>825</v>
          </cell>
        </row>
        <row r="204">
          <cell r="A204" t="str">
            <v>101-13-50335</v>
          </cell>
          <cell r="B204" t="str">
            <v>Workers Comp Fee</v>
          </cell>
          <cell r="C204">
            <v>19</v>
          </cell>
        </row>
        <row r="205">
          <cell r="A205" t="str">
            <v>101-13-50340</v>
          </cell>
          <cell r="B205" t="str">
            <v>Health Care</v>
          </cell>
          <cell r="C205">
            <v>1360</v>
          </cell>
        </row>
        <row r="206">
          <cell r="A206" t="str">
            <v>101-13-50370</v>
          </cell>
          <cell r="B206" t="str">
            <v>Workers Compensation Ins.</v>
          </cell>
          <cell r="C206">
            <v>0</v>
          </cell>
        </row>
        <row r="207">
          <cell r="A207" t="str">
            <v>101-13-60102</v>
          </cell>
          <cell r="B207" t="str">
            <v>Conf. Registrations</v>
          </cell>
          <cell r="C207">
            <v>35</v>
          </cell>
        </row>
        <row r="208">
          <cell r="A208" t="str">
            <v>101-13-60110</v>
          </cell>
          <cell r="B208" t="str">
            <v>Per Diem</v>
          </cell>
          <cell r="C208">
            <v>1282</v>
          </cell>
        </row>
        <row r="209">
          <cell r="A209" t="str">
            <v>101-13-61100</v>
          </cell>
          <cell r="B209" t="str">
            <v>Maintenance Building/Structure</v>
          </cell>
          <cell r="C209">
            <v>148</v>
          </cell>
        </row>
        <row r="210">
          <cell r="A210" t="str">
            <v>101-13-61400</v>
          </cell>
          <cell r="B210" t="str">
            <v>OFFICE EQUIPMENT</v>
          </cell>
          <cell r="C210">
            <v>0</v>
          </cell>
        </row>
        <row r="211">
          <cell r="A211" t="str">
            <v>101-13-62400</v>
          </cell>
          <cell r="B211" t="str">
            <v>Professional Services</v>
          </cell>
          <cell r="C211">
            <v>4116</v>
          </cell>
        </row>
        <row r="212">
          <cell r="A212" t="str">
            <v>101-13-63100</v>
          </cell>
          <cell r="B212" t="str">
            <v>Supplies</v>
          </cell>
          <cell r="C212">
            <v>4053</v>
          </cell>
        </row>
        <row r="213">
          <cell r="A213" t="str">
            <v>101-13-63200</v>
          </cell>
          <cell r="B213" t="str">
            <v>Non Cap Equipment</v>
          </cell>
          <cell r="C213">
            <v>2488</v>
          </cell>
        </row>
        <row r="214">
          <cell r="A214" t="str">
            <v>101-13-70800</v>
          </cell>
          <cell r="B214" t="str">
            <v>Postage &amp; Mail Services</v>
          </cell>
          <cell r="C214">
            <v>59</v>
          </cell>
        </row>
        <row r="215">
          <cell r="A215" t="str">
            <v>101-13-70900</v>
          </cell>
          <cell r="B215" t="str">
            <v>Printing/Publishing/Advertising</v>
          </cell>
          <cell r="C215">
            <v>642</v>
          </cell>
        </row>
        <row r="216">
          <cell r="A216" t="str">
            <v>101-13-71600</v>
          </cell>
          <cell r="B216" t="str">
            <v>Telephone</v>
          </cell>
          <cell r="C216">
            <v>2880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7"/>
  <sheetViews>
    <sheetView tabSelected="1" topLeftCell="A349" zoomScaleNormal="100" workbookViewId="0">
      <selection activeCell="G577" sqref="G577"/>
    </sheetView>
  </sheetViews>
  <sheetFormatPr defaultColWidth="9.140625" defaultRowHeight="12.75" x14ac:dyDescent="0.2"/>
  <cols>
    <col min="1" max="1" width="9.140625" style="6"/>
    <col min="2" max="2" width="15.28515625" style="21" customWidth="1"/>
    <col min="3" max="3" width="43.140625" style="6" customWidth="1"/>
    <col min="4" max="7" width="14.140625" style="22" customWidth="1"/>
    <col min="8" max="8" width="13.5703125" style="466" bestFit="1" customWidth="1"/>
    <col min="9" max="11" width="14.140625" style="23" hidden="1" customWidth="1"/>
    <col min="12" max="14" width="14.28515625" style="6" customWidth="1"/>
    <col min="15" max="15" width="12.5703125" style="6" bestFit="1" customWidth="1"/>
    <col min="16" max="16" width="10" style="6" bestFit="1" customWidth="1"/>
    <col min="17" max="17" width="9.140625" style="6" customWidth="1"/>
    <col min="18" max="16384" width="9.140625" style="6"/>
  </cols>
  <sheetData>
    <row r="1" spans="2:17" s="3" customFormat="1" ht="28.5" customHeight="1" thickBot="1" x14ac:dyDescent="0.25">
      <c r="B1" s="1" t="s">
        <v>0</v>
      </c>
      <c r="C1" s="2" t="s">
        <v>1</v>
      </c>
      <c r="D1" s="299" t="s">
        <v>723</v>
      </c>
      <c r="E1" s="299" t="s">
        <v>722</v>
      </c>
      <c r="F1" s="334" t="s">
        <v>746</v>
      </c>
      <c r="G1" s="418">
        <v>44958</v>
      </c>
      <c r="H1" s="465"/>
      <c r="I1" s="288" t="s">
        <v>726</v>
      </c>
      <c r="J1" s="288" t="s">
        <v>727</v>
      </c>
      <c r="K1" s="288" t="s">
        <v>728</v>
      </c>
    </row>
    <row r="2" spans="2:17" ht="13.5" thickBot="1" x14ac:dyDescent="0.25">
      <c r="B2" s="4" t="s">
        <v>2</v>
      </c>
      <c r="C2" s="5"/>
      <c r="D2" s="300"/>
      <c r="E2" s="300"/>
      <c r="F2" s="300"/>
      <c r="G2" s="300"/>
      <c r="I2" s="289"/>
      <c r="J2" s="289"/>
      <c r="K2" s="289"/>
    </row>
    <row r="3" spans="2:17" x14ac:dyDescent="0.2">
      <c r="B3" s="7" t="s">
        <v>3</v>
      </c>
      <c r="C3" s="8" t="s">
        <v>4</v>
      </c>
      <c r="D3" s="9">
        <v>12500</v>
      </c>
      <c r="E3" s="9">
        <v>3467.45</v>
      </c>
      <c r="F3" s="17">
        <v>7741.03</v>
      </c>
      <c r="G3" s="17">
        <v>10866.02</v>
      </c>
      <c r="I3" s="289">
        <v>11000</v>
      </c>
      <c r="J3" s="289">
        <v>1</v>
      </c>
      <c r="K3" s="289">
        <v>42600</v>
      </c>
    </row>
    <row r="4" spans="2:17" x14ac:dyDescent="0.2">
      <c r="B4" s="7" t="s">
        <v>5</v>
      </c>
      <c r="C4" s="8" t="s">
        <v>6</v>
      </c>
      <c r="D4" s="9">
        <v>130000</v>
      </c>
      <c r="E4" s="9">
        <v>33527.21</v>
      </c>
      <c r="F4" s="9">
        <v>49845.89</v>
      </c>
      <c r="G4" s="9">
        <v>77840.39</v>
      </c>
      <c r="I4" s="289">
        <v>11000</v>
      </c>
      <c r="J4" s="289">
        <v>1</v>
      </c>
      <c r="K4" s="289">
        <v>41100</v>
      </c>
    </row>
    <row r="5" spans="2:17" x14ac:dyDescent="0.2">
      <c r="B5" s="7" t="s">
        <v>7</v>
      </c>
      <c r="C5" s="8" t="s">
        <v>8</v>
      </c>
      <c r="D5" s="9">
        <v>337000</v>
      </c>
      <c r="E5" s="9">
        <v>0</v>
      </c>
      <c r="F5" s="9">
        <v>0</v>
      </c>
      <c r="G5" s="9">
        <v>336398.75</v>
      </c>
      <c r="I5" s="289">
        <v>11000</v>
      </c>
      <c r="J5" s="289">
        <v>1</v>
      </c>
      <c r="K5" s="289">
        <v>47140</v>
      </c>
    </row>
    <row r="6" spans="2:17" x14ac:dyDescent="0.2">
      <c r="B6" s="7" t="s">
        <v>9</v>
      </c>
      <c r="C6" s="8" t="s">
        <v>10</v>
      </c>
      <c r="D6" s="9">
        <v>35000</v>
      </c>
      <c r="E6" s="9">
        <v>19372.78</v>
      </c>
      <c r="F6" s="9">
        <v>19372.78</v>
      </c>
      <c r="G6" s="9">
        <v>19372.78</v>
      </c>
      <c r="I6" s="289">
        <v>11000</v>
      </c>
      <c r="J6" s="289">
        <v>1</v>
      </c>
      <c r="K6" s="289">
        <v>46100</v>
      </c>
    </row>
    <row r="7" spans="2:17" x14ac:dyDescent="0.2">
      <c r="B7" s="7" t="s">
        <v>11</v>
      </c>
      <c r="C7" s="8" t="s">
        <v>12</v>
      </c>
      <c r="D7" s="9">
        <v>650000</v>
      </c>
      <c r="E7" s="9">
        <v>400</v>
      </c>
      <c r="F7" s="9">
        <v>94218.45</v>
      </c>
      <c r="G7" s="9">
        <v>361493.27</v>
      </c>
      <c r="I7" s="289">
        <v>11000</v>
      </c>
      <c r="J7" s="289">
        <v>1</v>
      </c>
      <c r="K7" s="289">
        <v>41500</v>
      </c>
    </row>
    <row r="8" spans="2:17" x14ac:dyDescent="0.2">
      <c r="B8" s="7" t="s">
        <v>13</v>
      </c>
      <c r="C8" s="8" t="s">
        <v>14</v>
      </c>
      <c r="D8" s="9">
        <v>30000</v>
      </c>
      <c r="E8" s="9">
        <v>-158.85</v>
      </c>
      <c r="F8" s="9">
        <v>1943.78</v>
      </c>
      <c r="G8" s="9">
        <v>3458.36</v>
      </c>
      <c r="I8" s="289">
        <v>11000</v>
      </c>
      <c r="J8" s="289">
        <v>1</v>
      </c>
      <c r="K8" s="289">
        <v>41250</v>
      </c>
    </row>
    <row r="9" spans="2:17" x14ac:dyDescent="0.2">
      <c r="B9" s="7" t="s">
        <v>15</v>
      </c>
      <c r="C9" s="8" t="s">
        <v>16</v>
      </c>
      <c r="D9" s="9">
        <v>10000</v>
      </c>
      <c r="E9" s="9">
        <v>7.63</v>
      </c>
      <c r="F9" s="9">
        <v>160.84</v>
      </c>
      <c r="G9" s="9">
        <v>278.02999999999997</v>
      </c>
      <c r="I9" s="289">
        <v>11000</v>
      </c>
      <c r="J9" s="289">
        <v>1</v>
      </c>
      <c r="K9" s="289">
        <v>41251</v>
      </c>
    </row>
    <row r="10" spans="2:17" x14ac:dyDescent="0.2">
      <c r="B10" s="7" t="s">
        <v>17</v>
      </c>
      <c r="C10" s="8" t="s">
        <v>18</v>
      </c>
      <c r="D10" s="9">
        <v>1100000</v>
      </c>
      <c r="E10" s="9">
        <v>239372.79</v>
      </c>
      <c r="F10" s="9">
        <v>511319.26</v>
      </c>
      <c r="G10" s="9">
        <v>824305.23</v>
      </c>
      <c r="I10" s="289">
        <v>11000</v>
      </c>
      <c r="J10" s="289">
        <v>1</v>
      </c>
      <c r="K10" s="289">
        <v>42900</v>
      </c>
    </row>
    <row r="11" spans="2:17" x14ac:dyDescent="0.2">
      <c r="B11" s="7" t="s">
        <v>19</v>
      </c>
      <c r="C11" s="8" t="s">
        <v>20</v>
      </c>
      <c r="D11" s="9">
        <v>250</v>
      </c>
      <c r="E11" s="9">
        <v>0.37</v>
      </c>
      <c r="F11" s="9">
        <v>0.37</v>
      </c>
      <c r="G11" s="9">
        <v>0.37</v>
      </c>
      <c r="I11" s="289">
        <v>11000</v>
      </c>
      <c r="J11" s="289">
        <v>1</v>
      </c>
      <c r="K11" s="289">
        <v>42900</v>
      </c>
      <c r="Q11" s="6" t="s">
        <v>930</v>
      </c>
    </row>
    <row r="12" spans="2:17" x14ac:dyDescent="0.2">
      <c r="B12" s="7" t="s">
        <v>21</v>
      </c>
      <c r="C12" s="8" t="s">
        <v>22</v>
      </c>
      <c r="D12" s="9">
        <v>750</v>
      </c>
      <c r="E12" s="9">
        <v>0</v>
      </c>
      <c r="F12" s="9">
        <v>0</v>
      </c>
      <c r="G12" s="9">
        <v>0</v>
      </c>
      <c r="I12" s="289">
        <v>11000</v>
      </c>
      <c r="J12" s="289">
        <v>1</v>
      </c>
      <c r="K12" s="289">
        <v>42401</v>
      </c>
    </row>
    <row r="13" spans="2:17" x14ac:dyDescent="0.2">
      <c r="B13" s="7" t="s">
        <v>23</v>
      </c>
      <c r="C13" s="8" t="s">
        <v>24</v>
      </c>
      <c r="D13" s="9">
        <v>750</v>
      </c>
      <c r="E13" s="9">
        <v>0.52</v>
      </c>
      <c r="F13" s="9">
        <v>101.52</v>
      </c>
      <c r="G13" s="9">
        <v>-120.19</v>
      </c>
      <c r="I13" s="289">
        <v>11000</v>
      </c>
      <c r="J13" s="289">
        <v>1</v>
      </c>
      <c r="K13" s="289">
        <v>41258</v>
      </c>
    </row>
    <row r="14" spans="2:17" x14ac:dyDescent="0.2">
      <c r="B14" s="7" t="s">
        <v>25</v>
      </c>
      <c r="C14" s="8" t="s">
        <v>26</v>
      </c>
      <c r="D14" s="9">
        <v>1200000</v>
      </c>
      <c r="E14" s="9">
        <v>308899.93</v>
      </c>
      <c r="F14" s="9">
        <v>569832.97</v>
      </c>
      <c r="G14" s="9">
        <v>1089754.57</v>
      </c>
      <c r="I14" s="289">
        <v>11000</v>
      </c>
      <c r="J14" s="289">
        <v>1</v>
      </c>
      <c r="K14" s="289">
        <v>41250</v>
      </c>
    </row>
    <row r="15" spans="2:17" x14ac:dyDescent="0.2">
      <c r="B15" s="7" t="s">
        <v>27</v>
      </c>
      <c r="C15" s="8" t="s">
        <v>28</v>
      </c>
      <c r="D15" s="9">
        <v>25000</v>
      </c>
      <c r="E15" s="9">
        <v>9407.8700000000008</v>
      </c>
      <c r="F15" s="9">
        <v>11200.3</v>
      </c>
      <c r="G15" s="9">
        <v>14938.21</v>
      </c>
      <c r="I15" s="289">
        <v>11000</v>
      </c>
      <c r="J15" s="289">
        <v>1</v>
      </c>
      <c r="K15" s="289">
        <v>41259</v>
      </c>
    </row>
    <row r="16" spans="2:17" x14ac:dyDescent="0.2">
      <c r="B16" s="7" t="s">
        <v>29</v>
      </c>
      <c r="C16" s="8" t="s">
        <v>30</v>
      </c>
      <c r="D16" s="9">
        <v>15000</v>
      </c>
      <c r="E16" s="9">
        <v>5940.57</v>
      </c>
      <c r="F16" s="9">
        <v>7072.39</v>
      </c>
      <c r="G16" s="9">
        <v>9432.65</v>
      </c>
      <c r="I16" s="289">
        <v>11000</v>
      </c>
      <c r="J16" s="289">
        <v>1</v>
      </c>
      <c r="K16" s="289">
        <v>41259</v>
      </c>
    </row>
    <row r="17" spans="2:14" x14ac:dyDescent="0.2">
      <c r="B17" s="7" t="s">
        <v>31</v>
      </c>
      <c r="C17" s="8" t="s">
        <v>32</v>
      </c>
      <c r="D17" s="9">
        <v>300</v>
      </c>
      <c r="E17" s="9">
        <v>64.260000000000005</v>
      </c>
      <c r="F17" s="9">
        <v>129.1</v>
      </c>
      <c r="G17" s="9">
        <v>193.2</v>
      </c>
      <c r="I17" s="289">
        <v>11000</v>
      </c>
      <c r="J17" s="289">
        <v>1</v>
      </c>
      <c r="K17" s="289">
        <v>41260</v>
      </c>
    </row>
    <row r="18" spans="2:14" x14ac:dyDescent="0.2">
      <c r="B18" s="7" t="s">
        <v>33</v>
      </c>
      <c r="C18" s="8" t="s">
        <v>34</v>
      </c>
      <c r="D18" s="9">
        <v>150000</v>
      </c>
      <c r="E18" s="9">
        <v>0</v>
      </c>
      <c r="F18" s="9">
        <v>52757</v>
      </c>
      <c r="G18" s="9">
        <v>52757</v>
      </c>
      <c r="I18" s="289">
        <v>11000</v>
      </c>
      <c r="J18" s="289">
        <v>1</v>
      </c>
      <c r="K18" s="289">
        <v>46099</v>
      </c>
    </row>
    <row r="19" spans="2:14" x14ac:dyDescent="0.2">
      <c r="B19" s="7" t="s">
        <v>35</v>
      </c>
      <c r="C19" s="8" t="s">
        <v>36</v>
      </c>
      <c r="D19" s="9">
        <v>5000</v>
      </c>
      <c r="E19" s="9">
        <v>1050</v>
      </c>
      <c r="F19" s="9">
        <v>2535</v>
      </c>
      <c r="G19" s="9">
        <v>3135</v>
      </c>
      <c r="I19" s="289">
        <v>11000</v>
      </c>
      <c r="J19" s="289">
        <v>1</v>
      </c>
      <c r="K19" s="289">
        <v>43100</v>
      </c>
    </row>
    <row r="20" spans="2:14" x14ac:dyDescent="0.2">
      <c r="B20" s="7" t="s">
        <v>37</v>
      </c>
      <c r="C20" s="8" t="s">
        <v>38</v>
      </c>
      <c r="D20" s="9">
        <v>210000</v>
      </c>
      <c r="E20" s="9">
        <v>41440.699999999997</v>
      </c>
      <c r="F20" s="9">
        <v>93488.58</v>
      </c>
      <c r="G20" s="9">
        <v>166631.23000000001</v>
      </c>
      <c r="I20" s="289">
        <v>28000</v>
      </c>
      <c r="J20" s="289">
        <v>1</v>
      </c>
      <c r="K20" s="289">
        <v>41259</v>
      </c>
    </row>
    <row r="21" spans="2:14" x14ac:dyDescent="0.2">
      <c r="B21" s="7" t="s">
        <v>39</v>
      </c>
      <c r="C21" s="8" t="s">
        <v>40</v>
      </c>
      <c r="D21" s="9">
        <v>14000</v>
      </c>
      <c r="E21" s="9">
        <v>1175</v>
      </c>
      <c r="F21" s="9">
        <v>5695</v>
      </c>
      <c r="G21" s="9">
        <v>8365</v>
      </c>
      <c r="I21" s="289">
        <v>11000</v>
      </c>
      <c r="J21" s="289">
        <v>1</v>
      </c>
      <c r="K21" s="289">
        <v>43400</v>
      </c>
    </row>
    <row r="22" spans="2:14" x14ac:dyDescent="0.2">
      <c r="B22" s="7" t="s">
        <v>41</v>
      </c>
      <c r="C22" s="8" t="s">
        <v>42</v>
      </c>
      <c r="D22" s="9">
        <v>1000</v>
      </c>
      <c r="E22" s="9">
        <v>259.70999999999998</v>
      </c>
      <c r="F22" s="9">
        <v>489.21</v>
      </c>
      <c r="G22" s="9">
        <v>671.21</v>
      </c>
      <c r="I22" s="289">
        <v>11000</v>
      </c>
      <c r="J22" s="289">
        <v>1</v>
      </c>
      <c r="K22" s="289">
        <v>44150</v>
      </c>
    </row>
    <row r="23" spans="2:14" x14ac:dyDescent="0.2">
      <c r="B23" s="7" t="s">
        <v>43</v>
      </c>
      <c r="C23" s="8" t="s">
        <v>44</v>
      </c>
      <c r="D23" s="9">
        <v>150000</v>
      </c>
      <c r="E23" s="9">
        <v>28237</v>
      </c>
      <c r="F23" s="9">
        <v>56315.4</v>
      </c>
      <c r="G23" s="9">
        <v>87165.4</v>
      </c>
      <c r="I23" s="289">
        <v>11000</v>
      </c>
      <c r="J23" s="289">
        <v>1</v>
      </c>
      <c r="K23" s="289">
        <v>44110</v>
      </c>
    </row>
    <row r="24" spans="2:14" x14ac:dyDescent="0.2">
      <c r="B24" s="7" t="s">
        <v>45</v>
      </c>
      <c r="C24" s="8" t="s">
        <v>46</v>
      </c>
      <c r="D24" s="9">
        <v>85000</v>
      </c>
      <c r="E24" s="9">
        <v>23841</v>
      </c>
      <c r="F24" s="9">
        <v>42748.5</v>
      </c>
      <c r="G24" s="9">
        <v>61286.5</v>
      </c>
      <c r="I24" s="289">
        <v>11000</v>
      </c>
      <c r="J24" s="289">
        <v>1</v>
      </c>
      <c r="K24" s="289">
        <v>44080</v>
      </c>
    </row>
    <row r="25" spans="2:14" x14ac:dyDescent="0.2">
      <c r="B25" s="7" t="s">
        <v>47</v>
      </c>
      <c r="C25" s="8" t="s">
        <v>48</v>
      </c>
      <c r="D25" s="9">
        <v>20000</v>
      </c>
      <c r="E25" s="9">
        <v>5121.67</v>
      </c>
      <c r="F25" s="9">
        <v>9447.19</v>
      </c>
      <c r="G25" s="9">
        <v>14478.86</v>
      </c>
      <c r="I25" s="289"/>
      <c r="J25" s="289"/>
      <c r="K25" s="289"/>
    </row>
    <row r="26" spans="2:14" x14ac:dyDescent="0.2">
      <c r="B26" s="7" t="s">
        <v>49</v>
      </c>
      <c r="C26" s="8" t="s">
        <v>50</v>
      </c>
      <c r="D26" s="9">
        <v>85000</v>
      </c>
      <c r="E26" s="9">
        <v>11510.85</v>
      </c>
      <c r="F26" s="9">
        <v>30086.94</v>
      </c>
      <c r="G26" s="9">
        <v>56789.58</v>
      </c>
      <c r="I26" s="289"/>
      <c r="J26" s="289"/>
      <c r="K26" s="289"/>
    </row>
    <row r="27" spans="2:14" ht="13.5" thickBot="1" x14ac:dyDescent="0.25">
      <c r="B27" s="10" t="s">
        <v>51</v>
      </c>
      <c r="C27" s="11" t="s">
        <v>52</v>
      </c>
      <c r="D27" s="12">
        <v>10000</v>
      </c>
      <c r="E27" s="12">
        <v>254.25</v>
      </c>
      <c r="F27" s="12">
        <v>287.08</v>
      </c>
      <c r="G27" s="12">
        <v>7769.07</v>
      </c>
      <c r="I27" s="289"/>
      <c r="J27" s="289"/>
      <c r="K27" s="289"/>
    </row>
    <row r="28" spans="2:14" ht="13.5" thickBot="1" x14ac:dyDescent="0.25">
      <c r="B28" s="473" t="s">
        <v>53</v>
      </c>
      <c r="C28" s="473"/>
      <c r="D28" s="13">
        <f t="shared" ref="D28" si="0">SUM(D3:D27)</f>
        <v>4276550</v>
      </c>
      <c r="E28" s="13">
        <f>SUM(E3:E27)</f>
        <v>733192.71</v>
      </c>
      <c r="F28" s="13">
        <f>SUM(F3:F27)</f>
        <v>1566788.58</v>
      </c>
      <c r="G28" s="13">
        <f>SUM(G3:G27)</f>
        <v>3207260.4899999998</v>
      </c>
      <c r="I28" s="289"/>
      <c r="J28" s="289"/>
      <c r="K28" s="289"/>
    </row>
    <row r="29" spans="2:14" ht="14.25" thickTop="1" thickBot="1" x14ac:dyDescent="0.25">
      <c r="B29" s="14"/>
      <c r="C29" s="15"/>
      <c r="D29" s="16"/>
      <c r="E29" s="16"/>
      <c r="F29" s="16"/>
      <c r="G29" s="16"/>
      <c r="I29" s="290"/>
      <c r="J29" s="290"/>
      <c r="K29" s="290"/>
    </row>
    <row r="30" spans="2:14" ht="13.5" thickBot="1" x14ac:dyDescent="0.25">
      <c r="B30" s="4" t="s">
        <v>54</v>
      </c>
      <c r="C30" s="5"/>
      <c r="D30" s="301"/>
      <c r="E30" s="301"/>
      <c r="F30" s="301"/>
      <c r="G30" s="302"/>
      <c r="I30" s="289"/>
      <c r="J30" s="289"/>
      <c r="K30" s="289"/>
      <c r="L30" s="284"/>
    </row>
    <row r="31" spans="2:14" x14ac:dyDescent="0.2">
      <c r="B31" s="7" t="s">
        <v>55</v>
      </c>
      <c r="C31" s="8" t="s">
        <v>56</v>
      </c>
      <c r="D31" s="9">
        <f>+'PAYROLL FY23'!I10</f>
        <v>16560</v>
      </c>
      <c r="E31" s="9">
        <v>5520</v>
      </c>
      <c r="F31" s="9">
        <v>9660</v>
      </c>
      <c r="G31" s="9">
        <v>12420</v>
      </c>
      <c r="I31" s="289"/>
      <c r="J31" s="289"/>
      <c r="K31" s="289"/>
      <c r="L31" s="284"/>
      <c r="M31" s="335"/>
      <c r="N31" s="335"/>
    </row>
    <row r="32" spans="2:14" ht="13.5" thickBot="1" x14ac:dyDescent="0.25">
      <c r="B32" s="7" t="s">
        <v>57</v>
      </c>
      <c r="C32" s="8" t="s">
        <v>58</v>
      </c>
      <c r="D32" s="9">
        <f>+'PAYROLL FY23'!J10</f>
        <v>1266.8399999999999</v>
      </c>
      <c r="E32" s="9">
        <v>422.28</v>
      </c>
      <c r="F32" s="12">
        <v>738.99</v>
      </c>
      <c r="G32" s="12">
        <v>950.13</v>
      </c>
      <c r="I32" s="289"/>
      <c r="J32" s="289"/>
      <c r="K32" s="289"/>
      <c r="L32" s="284"/>
    </row>
    <row r="33" spans="2:12" x14ac:dyDescent="0.2">
      <c r="B33" s="19" t="s">
        <v>59</v>
      </c>
      <c r="C33" s="20" t="s">
        <v>60</v>
      </c>
      <c r="D33" s="416">
        <v>1000</v>
      </c>
      <c r="E33" s="17">
        <v>0</v>
      </c>
      <c r="F33" s="17">
        <v>0</v>
      </c>
      <c r="G33" s="17">
        <v>0</v>
      </c>
      <c r="I33" s="289"/>
      <c r="J33" s="289"/>
      <c r="K33" s="289"/>
      <c r="L33" s="284"/>
    </row>
    <row r="34" spans="2:12" x14ac:dyDescent="0.2">
      <c r="B34" s="7" t="s">
        <v>61</v>
      </c>
      <c r="C34" s="8" t="s">
        <v>62</v>
      </c>
      <c r="D34" s="283">
        <v>2000</v>
      </c>
      <c r="E34" s="9">
        <v>0</v>
      </c>
      <c r="F34" s="9">
        <v>0</v>
      </c>
      <c r="G34" s="9">
        <v>0</v>
      </c>
      <c r="I34" s="289"/>
      <c r="J34" s="289"/>
      <c r="K34" s="289"/>
      <c r="L34" s="284"/>
    </row>
    <row r="35" spans="2:12" x14ac:dyDescent="0.2">
      <c r="B35" s="7" t="s">
        <v>63</v>
      </c>
      <c r="C35" s="8" t="s">
        <v>64</v>
      </c>
      <c r="D35" s="283">
        <v>1700</v>
      </c>
      <c r="E35" s="9">
        <v>0</v>
      </c>
      <c r="F35" s="9">
        <v>0</v>
      </c>
      <c r="G35" s="9">
        <v>0</v>
      </c>
      <c r="I35" s="289"/>
      <c r="J35" s="289"/>
      <c r="K35" s="289"/>
      <c r="L35" s="284"/>
    </row>
    <row r="36" spans="2:12" x14ac:dyDescent="0.2">
      <c r="B36" s="7" t="s">
        <v>65</v>
      </c>
      <c r="C36" s="8" t="s">
        <v>66</v>
      </c>
      <c r="D36" s="283">
        <v>10000</v>
      </c>
      <c r="E36" s="9">
        <v>3272.48</v>
      </c>
      <c r="F36" s="9">
        <v>4341.05</v>
      </c>
      <c r="G36" s="9">
        <v>4618.3999999999996</v>
      </c>
      <c r="I36" s="289"/>
      <c r="J36" s="289"/>
      <c r="K36" s="289"/>
      <c r="L36" s="284"/>
    </row>
    <row r="37" spans="2:12" ht="13.5" thickBot="1" x14ac:dyDescent="0.25">
      <c r="B37" s="10" t="s">
        <v>588</v>
      </c>
      <c r="C37" s="11" t="s">
        <v>589</v>
      </c>
      <c r="D37" s="33">
        <v>40000</v>
      </c>
      <c r="E37" s="12">
        <v>26881.39</v>
      </c>
      <c r="F37" s="12">
        <v>26881.39</v>
      </c>
      <c r="G37" s="12">
        <v>28064.71</v>
      </c>
      <c r="I37" s="289"/>
      <c r="J37" s="289"/>
      <c r="K37" s="289"/>
      <c r="L37" s="284"/>
    </row>
    <row r="38" spans="2:12" ht="13.5" thickBot="1" x14ac:dyDescent="0.25">
      <c r="C38" s="15" t="s">
        <v>67</v>
      </c>
      <c r="D38" s="303">
        <f>SUM(D31:D37)</f>
        <v>72526.84</v>
      </c>
      <c r="E38" s="303">
        <f>SUM(E31:E37)</f>
        <v>36096.15</v>
      </c>
      <c r="F38" s="303">
        <f>SUM(F31:F37)</f>
        <v>41621.43</v>
      </c>
      <c r="G38" s="303">
        <f>SUM(G31:G37)</f>
        <v>46053.24</v>
      </c>
      <c r="I38" s="289"/>
      <c r="J38" s="289"/>
      <c r="K38" s="289"/>
      <c r="L38" s="284"/>
    </row>
    <row r="39" spans="2:12" ht="14.25" thickTop="1" thickBot="1" x14ac:dyDescent="0.25"/>
    <row r="40" spans="2:12" ht="13.5" thickBot="1" x14ac:dyDescent="0.25">
      <c r="B40" s="4" t="s">
        <v>68</v>
      </c>
      <c r="C40" s="5"/>
      <c r="D40" s="301"/>
      <c r="E40" s="301"/>
      <c r="F40" s="301"/>
      <c r="G40" s="302"/>
      <c r="I40" s="289"/>
      <c r="J40" s="289"/>
      <c r="K40" s="289"/>
    </row>
    <row r="41" spans="2:12" x14ac:dyDescent="0.2">
      <c r="B41" s="28" t="s">
        <v>69</v>
      </c>
      <c r="C41" s="29" t="s">
        <v>56</v>
      </c>
      <c r="D41" s="9">
        <v>21620</v>
      </c>
      <c r="E41" s="9">
        <v>7222.5</v>
      </c>
      <c r="F41" s="9">
        <v>12547.5</v>
      </c>
      <c r="G41" s="9">
        <v>15997.5</v>
      </c>
      <c r="I41" s="289">
        <v>11000</v>
      </c>
      <c r="J41" s="289">
        <v>1001</v>
      </c>
      <c r="K41" s="289">
        <v>51010</v>
      </c>
    </row>
    <row r="42" spans="2:12" ht="13.5" thickBot="1" x14ac:dyDescent="0.25">
      <c r="B42" s="26" t="s">
        <v>70</v>
      </c>
      <c r="C42" s="27" t="s">
        <v>58</v>
      </c>
      <c r="D42" s="12">
        <v>1654.36</v>
      </c>
      <c r="E42" s="12">
        <v>548.25</v>
      </c>
      <c r="F42" s="12">
        <v>955.74</v>
      </c>
      <c r="G42" s="12">
        <v>1219.74</v>
      </c>
      <c r="I42" s="289">
        <v>11000</v>
      </c>
      <c r="J42" s="289">
        <v>1001</v>
      </c>
      <c r="K42" s="289">
        <v>52011</v>
      </c>
    </row>
    <row r="43" spans="2:12" x14ac:dyDescent="0.2">
      <c r="B43" s="28" t="s">
        <v>71</v>
      </c>
      <c r="C43" s="29" t="s">
        <v>60</v>
      </c>
      <c r="D43" s="9">
        <v>2400</v>
      </c>
      <c r="E43" s="17">
        <v>400</v>
      </c>
      <c r="F43" s="17">
        <f>400+1495</f>
        <v>1895</v>
      </c>
      <c r="G43" s="17">
        <f>3145-1050</f>
        <v>2095</v>
      </c>
      <c r="I43" s="289">
        <v>11000</v>
      </c>
      <c r="J43" s="289">
        <v>1001</v>
      </c>
      <c r="K43" s="289">
        <v>57050</v>
      </c>
      <c r="L43" s="335"/>
    </row>
    <row r="44" spans="2:12" x14ac:dyDescent="0.2">
      <c r="B44" s="28" t="s">
        <v>72</v>
      </c>
      <c r="C44" s="29" t="s">
        <v>62</v>
      </c>
      <c r="D44" s="9">
        <v>6500</v>
      </c>
      <c r="E44" s="9">
        <v>1240.48</v>
      </c>
      <c r="F44" s="9">
        <f>2747.98+221.96</f>
        <v>2969.94</v>
      </c>
      <c r="G44" s="9">
        <v>5231.96</v>
      </c>
      <c r="I44" s="289">
        <v>11000</v>
      </c>
      <c r="J44" s="289">
        <v>1001</v>
      </c>
      <c r="K44" s="289">
        <v>53999</v>
      </c>
      <c r="L44" s="335"/>
    </row>
    <row r="45" spans="2:12" ht="13.5" thickBot="1" x14ac:dyDescent="0.25">
      <c r="B45" s="26" t="s">
        <v>73</v>
      </c>
      <c r="C45" s="27" t="s">
        <v>64</v>
      </c>
      <c r="D45" s="12">
        <v>1000</v>
      </c>
      <c r="E45" s="12">
        <v>0</v>
      </c>
      <c r="F45" s="12">
        <v>0</v>
      </c>
      <c r="G45" s="12">
        <v>0</v>
      </c>
      <c r="I45" s="289">
        <v>11000</v>
      </c>
      <c r="J45" s="289">
        <v>1001</v>
      </c>
      <c r="K45" s="289">
        <v>57150</v>
      </c>
    </row>
    <row r="46" spans="2:12" ht="13.5" thickBot="1" x14ac:dyDescent="0.25">
      <c r="C46" s="15" t="s">
        <v>67</v>
      </c>
      <c r="D46" s="304">
        <f t="shared" ref="D46:F46" si="1">SUM(D41:D45)</f>
        <v>33174.36</v>
      </c>
      <c r="E46" s="304">
        <f t="shared" si="1"/>
        <v>9411.23</v>
      </c>
      <c r="F46" s="304">
        <f t="shared" si="1"/>
        <v>18368.18</v>
      </c>
      <c r="G46" s="304">
        <f t="shared" ref="G46" si="2">SUM(G41:G45)</f>
        <v>24544.2</v>
      </c>
      <c r="I46" s="289"/>
      <c r="J46" s="289"/>
      <c r="K46" s="289"/>
    </row>
    <row r="47" spans="2:12" ht="14.25" thickTop="1" thickBot="1" x14ac:dyDescent="0.25">
      <c r="I47" s="289"/>
    </row>
    <row r="48" spans="2:12" ht="13.5" thickBot="1" x14ac:dyDescent="0.25">
      <c r="B48" s="4" t="s">
        <v>74</v>
      </c>
      <c r="C48" s="5"/>
      <c r="D48" s="301"/>
      <c r="E48" s="301"/>
      <c r="F48" s="301"/>
      <c r="G48" s="302"/>
      <c r="I48" s="289"/>
      <c r="J48" s="289"/>
      <c r="K48" s="289"/>
    </row>
    <row r="49" spans="2:14" x14ac:dyDescent="0.2">
      <c r="B49" s="7" t="s">
        <v>75</v>
      </c>
      <c r="C49" s="8" t="s">
        <v>76</v>
      </c>
      <c r="D49" s="9">
        <v>33280</v>
      </c>
      <c r="E49" s="9">
        <v>4012.96</v>
      </c>
      <c r="F49" s="9">
        <v>11501.81</v>
      </c>
      <c r="G49" s="9">
        <v>20573.330000000002</v>
      </c>
      <c r="I49" s="289">
        <v>11000</v>
      </c>
      <c r="J49" s="289">
        <v>2008</v>
      </c>
      <c r="K49" s="289">
        <v>51020</v>
      </c>
      <c r="M49" s="335"/>
    </row>
    <row r="50" spans="2:14" x14ac:dyDescent="0.2">
      <c r="B50" s="28" t="s">
        <v>77</v>
      </c>
      <c r="C50" s="29" t="s">
        <v>78</v>
      </c>
      <c r="D50" s="9">
        <v>62920</v>
      </c>
      <c r="E50" s="9">
        <v>23722.720000000001</v>
      </c>
      <c r="F50" s="9">
        <v>31811.43</v>
      </c>
      <c r="G50" s="9">
        <v>44970.720000000001</v>
      </c>
      <c r="I50" s="289">
        <v>11000</v>
      </c>
      <c r="J50" s="289">
        <v>2008</v>
      </c>
      <c r="K50" s="289">
        <v>51020</v>
      </c>
      <c r="M50" s="335"/>
    </row>
    <row r="51" spans="2:14" x14ac:dyDescent="0.2">
      <c r="B51" s="28" t="s">
        <v>79</v>
      </c>
      <c r="C51" s="29" t="s">
        <v>58</v>
      </c>
      <c r="D51" s="9">
        <v>1394.9</v>
      </c>
      <c r="E51" s="9">
        <v>397.18</v>
      </c>
      <c r="F51" s="9">
        <v>619.66999999999996</v>
      </c>
      <c r="G51" s="9">
        <v>937.74</v>
      </c>
      <c r="I51" s="289">
        <v>11000</v>
      </c>
      <c r="J51" s="289">
        <v>2008</v>
      </c>
      <c r="K51" s="289">
        <v>52011</v>
      </c>
    </row>
    <row r="52" spans="2:14" x14ac:dyDescent="0.2">
      <c r="B52" s="28" t="s">
        <v>80</v>
      </c>
      <c r="C52" s="29" t="s">
        <v>81</v>
      </c>
      <c r="D52" s="9">
        <v>336.7</v>
      </c>
      <c r="E52" s="9">
        <v>127.75</v>
      </c>
      <c r="F52" s="9">
        <v>243.57</v>
      </c>
      <c r="G52" s="9">
        <v>368.57</v>
      </c>
      <c r="I52" s="289">
        <v>11000</v>
      </c>
      <c r="J52" s="289">
        <v>2008</v>
      </c>
      <c r="K52" s="289">
        <v>52090</v>
      </c>
    </row>
    <row r="53" spans="2:14" x14ac:dyDescent="0.2">
      <c r="B53" s="28" t="s">
        <v>82</v>
      </c>
      <c r="C53" s="29" t="s">
        <v>83</v>
      </c>
      <c r="D53" s="9">
        <v>7840.3</v>
      </c>
      <c r="E53" s="9">
        <v>2202.4</v>
      </c>
      <c r="F53" s="9">
        <v>3484.47</v>
      </c>
      <c r="G53" s="9">
        <v>5109.91</v>
      </c>
      <c r="I53" s="289">
        <v>11000</v>
      </c>
      <c r="J53" s="289">
        <v>2008</v>
      </c>
      <c r="K53" s="289">
        <v>52020</v>
      </c>
    </row>
    <row r="54" spans="2:14" x14ac:dyDescent="0.2">
      <c r="B54" s="28" t="s">
        <v>84</v>
      </c>
      <c r="C54" s="29" t="s">
        <v>85</v>
      </c>
      <c r="D54" s="9">
        <v>273.60000000000002</v>
      </c>
      <c r="E54" s="9">
        <v>11.5</v>
      </c>
      <c r="F54" s="9">
        <v>17.16</v>
      </c>
      <c r="G54" s="9">
        <v>25.3</v>
      </c>
      <c r="I54" s="289">
        <v>11000</v>
      </c>
      <c r="J54" s="289">
        <v>2008</v>
      </c>
      <c r="K54" s="289">
        <v>52100</v>
      </c>
    </row>
    <row r="55" spans="2:14" x14ac:dyDescent="0.2">
      <c r="B55" s="28" t="s">
        <v>86</v>
      </c>
      <c r="C55" s="29" t="s">
        <v>87</v>
      </c>
      <c r="D55" s="9">
        <v>5183.28</v>
      </c>
      <c r="E55" s="9">
        <v>647.91</v>
      </c>
      <c r="F55" s="9">
        <v>1943.73</v>
      </c>
      <c r="G55" s="9">
        <v>3023.58</v>
      </c>
      <c r="I55" s="289">
        <v>11000</v>
      </c>
      <c r="J55" s="289">
        <v>2008</v>
      </c>
      <c r="K55" s="289">
        <v>52030</v>
      </c>
    </row>
    <row r="56" spans="2:14" x14ac:dyDescent="0.2">
      <c r="B56" s="28" t="s">
        <v>88</v>
      </c>
      <c r="C56" s="29" t="s">
        <v>89</v>
      </c>
      <c r="D56" s="9">
        <v>359.52</v>
      </c>
      <c r="E56" s="9">
        <v>359.94</v>
      </c>
      <c r="F56" s="9">
        <v>89.88</v>
      </c>
      <c r="G56" s="9">
        <v>164.78</v>
      </c>
      <c r="I56" s="289">
        <v>11000</v>
      </c>
      <c r="J56" s="289">
        <v>2008</v>
      </c>
      <c r="K56" s="289">
        <v>52050</v>
      </c>
    </row>
    <row r="57" spans="2:14" x14ac:dyDescent="0.2">
      <c r="B57" s="28" t="s">
        <v>90</v>
      </c>
      <c r="C57" s="29" t="s">
        <v>91</v>
      </c>
      <c r="D57" s="9">
        <v>77.569999999999993</v>
      </c>
      <c r="E57" s="9">
        <v>75.209999999999994</v>
      </c>
      <c r="F57" s="9">
        <v>29.07</v>
      </c>
      <c r="G57" s="9">
        <v>45.22</v>
      </c>
      <c r="I57" s="289">
        <v>11000</v>
      </c>
      <c r="J57" s="289">
        <v>2008</v>
      </c>
      <c r="K57" s="289">
        <v>52060</v>
      </c>
    </row>
    <row r="58" spans="2:14" ht="13.5" thickBot="1" x14ac:dyDescent="0.25">
      <c r="B58" s="26" t="s">
        <v>92</v>
      </c>
      <c r="C58" s="27" t="s">
        <v>93</v>
      </c>
      <c r="D58" s="12">
        <v>284.7</v>
      </c>
      <c r="E58" s="12">
        <v>63.6</v>
      </c>
      <c r="F58" s="12">
        <v>122.83</v>
      </c>
      <c r="G58" s="12">
        <v>173.99</v>
      </c>
      <c r="I58" s="289">
        <v>11000</v>
      </c>
      <c r="J58" s="289">
        <v>2008</v>
      </c>
      <c r="K58" s="289">
        <v>52040</v>
      </c>
    </row>
    <row r="59" spans="2:14" x14ac:dyDescent="0.2">
      <c r="B59" s="24" t="s">
        <v>94</v>
      </c>
      <c r="C59" s="25" t="s">
        <v>60</v>
      </c>
      <c r="D59" s="9">
        <v>1000</v>
      </c>
      <c r="E59" s="17">
        <v>0</v>
      </c>
      <c r="F59" s="17">
        <v>269.60000000000002</v>
      </c>
      <c r="G59" s="17">
        <f>318.6+722.95</f>
        <v>1041.5500000000002</v>
      </c>
      <c r="I59" s="289">
        <v>11000</v>
      </c>
      <c r="J59" s="289">
        <v>2008</v>
      </c>
      <c r="K59" s="289">
        <v>57050</v>
      </c>
      <c r="N59" s="419"/>
    </row>
    <row r="60" spans="2:14" x14ac:dyDescent="0.2">
      <c r="B60" s="28" t="s">
        <v>95</v>
      </c>
      <c r="C60" s="29" t="s">
        <v>62</v>
      </c>
      <c r="D60" s="9">
        <v>2000</v>
      </c>
      <c r="E60" s="9">
        <v>0</v>
      </c>
      <c r="F60" s="9">
        <v>1254.8699999999999</v>
      </c>
      <c r="G60" s="9">
        <v>1302.07</v>
      </c>
      <c r="I60" s="289">
        <v>11000</v>
      </c>
      <c r="J60" s="289">
        <v>2008</v>
      </c>
      <c r="K60" s="289">
        <v>53999</v>
      </c>
    </row>
    <row r="61" spans="2:14" x14ac:dyDescent="0.2">
      <c r="B61" s="28" t="s">
        <v>96</v>
      </c>
      <c r="C61" s="29" t="s">
        <v>97</v>
      </c>
      <c r="D61" s="9">
        <v>1500</v>
      </c>
      <c r="E61" s="9">
        <v>538.32000000000005</v>
      </c>
      <c r="F61" s="9">
        <f>538.32+42.16</f>
        <v>580.48</v>
      </c>
      <c r="G61" s="9">
        <f>538.32+42.16</f>
        <v>580.48</v>
      </c>
      <c r="I61" s="289">
        <v>11000</v>
      </c>
      <c r="J61" s="289">
        <v>2008</v>
      </c>
      <c r="K61" s="289">
        <v>56020</v>
      </c>
      <c r="N61" s="419"/>
    </row>
    <row r="62" spans="2:14" x14ac:dyDescent="0.2">
      <c r="B62" s="28" t="s">
        <v>98</v>
      </c>
      <c r="C62" s="29" t="s">
        <v>99</v>
      </c>
      <c r="D62" s="9">
        <v>2500</v>
      </c>
      <c r="E62" s="9">
        <v>319</v>
      </c>
      <c r="F62" s="9">
        <v>770.5</v>
      </c>
      <c r="G62" s="9">
        <v>923.5</v>
      </c>
      <c r="I62" s="289">
        <v>11000</v>
      </c>
      <c r="J62" s="289">
        <v>2008</v>
      </c>
      <c r="K62" s="289">
        <v>55030</v>
      </c>
    </row>
    <row r="63" spans="2:14" x14ac:dyDescent="0.2">
      <c r="B63" s="28" t="s">
        <v>100</v>
      </c>
      <c r="C63" s="29" t="s">
        <v>101</v>
      </c>
      <c r="D63" s="9">
        <v>5500</v>
      </c>
      <c r="E63" s="9">
        <v>788</v>
      </c>
      <c r="F63" s="9">
        <v>788</v>
      </c>
      <c r="G63" s="9">
        <v>988</v>
      </c>
      <c r="I63" s="289">
        <v>11000</v>
      </c>
      <c r="J63" s="289">
        <v>2008</v>
      </c>
      <c r="K63" s="289">
        <v>55030</v>
      </c>
    </row>
    <row r="64" spans="2:14" x14ac:dyDescent="0.2">
      <c r="B64" s="28" t="s">
        <v>102</v>
      </c>
      <c r="C64" s="29" t="s">
        <v>103</v>
      </c>
      <c r="D64" s="9">
        <v>7000</v>
      </c>
      <c r="E64" s="9">
        <v>1924.2</v>
      </c>
      <c r="F64" s="9">
        <v>1925.67</v>
      </c>
      <c r="G64" s="9">
        <f>5715.99+303.14</f>
        <v>6019.13</v>
      </c>
      <c r="I64" s="289">
        <v>11000</v>
      </c>
      <c r="J64" s="289">
        <v>2008</v>
      </c>
      <c r="K64" s="289">
        <v>57090</v>
      </c>
    </row>
    <row r="65" spans="2:16" ht="13.5" thickBot="1" x14ac:dyDescent="0.25">
      <c r="B65" s="26" t="s">
        <v>104</v>
      </c>
      <c r="C65" s="27" t="s">
        <v>64</v>
      </c>
      <c r="D65" s="12">
        <v>1000</v>
      </c>
      <c r="E65" s="12">
        <v>175</v>
      </c>
      <c r="F65" s="12">
        <v>175</v>
      </c>
      <c r="G65" s="12"/>
      <c r="I65" s="289">
        <v>11000</v>
      </c>
      <c r="J65" s="289">
        <v>2008</v>
      </c>
      <c r="K65" s="289">
        <v>57150</v>
      </c>
      <c r="N65" s="419"/>
    </row>
    <row r="66" spans="2:16" ht="13.5" thickBot="1" x14ac:dyDescent="0.25">
      <c r="C66" s="15" t="s">
        <v>67</v>
      </c>
      <c r="D66" s="304">
        <f t="shared" ref="D66:F66" si="3">SUM(D49:D65)</f>
        <v>132450.57</v>
      </c>
      <c r="E66" s="304">
        <f t="shared" si="3"/>
        <v>35365.689999999995</v>
      </c>
      <c r="F66" s="304">
        <f t="shared" si="3"/>
        <v>55627.740000000005</v>
      </c>
      <c r="G66" s="304">
        <f t="shared" ref="G66" si="4">SUM(G49:G65)</f>
        <v>86247.870000000039</v>
      </c>
      <c r="I66" s="289"/>
      <c r="J66" s="289"/>
      <c r="K66" s="289"/>
    </row>
    <row r="67" spans="2:16" ht="14.25" thickTop="1" thickBot="1" x14ac:dyDescent="0.25">
      <c r="I67" s="289"/>
    </row>
    <row r="68" spans="2:16" ht="13.5" thickBot="1" x14ac:dyDescent="0.25">
      <c r="B68" s="4" t="s">
        <v>105</v>
      </c>
      <c r="C68" s="5"/>
      <c r="D68" s="301"/>
      <c r="E68" s="301"/>
      <c r="F68" s="301"/>
      <c r="G68" s="302"/>
      <c r="I68" s="289"/>
      <c r="J68" s="289"/>
      <c r="K68" s="289"/>
    </row>
    <row r="69" spans="2:16" x14ac:dyDescent="0.2">
      <c r="B69" s="28" t="s">
        <v>106</v>
      </c>
      <c r="C69" s="29" t="s">
        <v>56</v>
      </c>
      <c r="D69" s="9">
        <v>11040</v>
      </c>
      <c r="E69" s="9">
        <v>3680</v>
      </c>
      <c r="F69" s="9">
        <v>6653.33</v>
      </c>
      <c r="G69" s="9">
        <v>8493.33</v>
      </c>
      <c r="I69" s="289">
        <v>11000</v>
      </c>
      <c r="J69" s="289">
        <v>1009</v>
      </c>
      <c r="K69" s="289">
        <v>51010</v>
      </c>
      <c r="N69" s="419"/>
    </row>
    <row r="70" spans="2:16" x14ac:dyDescent="0.2">
      <c r="B70" s="28" t="s">
        <v>107</v>
      </c>
      <c r="C70" s="29" t="s">
        <v>78</v>
      </c>
      <c r="D70" s="9">
        <v>34736</v>
      </c>
      <c r="E70" s="9">
        <v>0</v>
      </c>
      <c r="F70" s="9">
        <v>15282.38</v>
      </c>
      <c r="G70" s="9">
        <v>24751.47</v>
      </c>
      <c r="I70" s="289">
        <v>11000</v>
      </c>
      <c r="J70" s="289">
        <v>1009</v>
      </c>
      <c r="K70" s="289">
        <v>51020</v>
      </c>
      <c r="M70" s="335"/>
      <c r="O70" s="335"/>
      <c r="P70" s="335"/>
    </row>
    <row r="71" spans="2:16" x14ac:dyDescent="0.2">
      <c r="B71" s="28" t="s">
        <v>108</v>
      </c>
      <c r="C71" s="29" t="s">
        <v>109</v>
      </c>
      <c r="D71" s="9">
        <v>34653.19</v>
      </c>
      <c r="E71" s="9">
        <v>18726</v>
      </c>
      <c r="F71" s="9">
        <v>16487.91</v>
      </c>
      <c r="G71" s="9">
        <v>19137.150000000001</v>
      </c>
      <c r="I71" s="289">
        <v>11000</v>
      </c>
      <c r="J71" s="289">
        <v>1009</v>
      </c>
      <c r="K71" s="289">
        <v>51040</v>
      </c>
      <c r="M71" s="335"/>
      <c r="O71" s="335"/>
    </row>
    <row r="72" spans="2:16" s="32" customFormat="1" x14ac:dyDescent="0.2">
      <c r="B72" s="7" t="s">
        <v>108</v>
      </c>
      <c r="C72" s="31" t="s">
        <v>110</v>
      </c>
      <c r="D72" s="9">
        <v>1600</v>
      </c>
      <c r="E72" s="9">
        <v>0</v>
      </c>
      <c r="F72" s="9">
        <v>0</v>
      </c>
      <c r="G72" s="9">
        <v>0</v>
      </c>
      <c r="H72" s="467"/>
      <c r="I72" s="291">
        <v>11000</v>
      </c>
      <c r="J72" s="291">
        <v>1009</v>
      </c>
      <c r="K72" s="291">
        <v>51050</v>
      </c>
      <c r="M72" s="6"/>
      <c r="O72" s="306"/>
    </row>
    <row r="73" spans="2:16" x14ac:dyDescent="0.2">
      <c r="B73" s="28" t="s">
        <v>111</v>
      </c>
      <c r="C73" s="29" t="s">
        <v>58</v>
      </c>
      <c r="D73" s="9">
        <v>1973.1</v>
      </c>
      <c r="E73" s="9">
        <v>552.9</v>
      </c>
      <c r="F73" s="9">
        <v>969.51</v>
      </c>
      <c r="G73" s="9">
        <v>1285.99</v>
      </c>
      <c r="I73" s="289">
        <v>11000</v>
      </c>
      <c r="J73" s="289">
        <v>1009</v>
      </c>
      <c r="K73" s="289">
        <v>52011</v>
      </c>
    </row>
    <row r="74" spans="2:16" x14ac:dyDescent="0.2">
      <c r="B74" s="28" t="s">
        <v>112</v>
      </c>
      <c r="C74" s="29" t="s">
        <v>81</v>
      </c>
      <c r="D74" s="9">
        <v>242.86</v>
      </c>
      <c r="E74" s="9">
        <v>106.68</v>
      </c>
      <c r="F74" s="9">
        <v>181.05</v>
      </c>
      <c r="G74" s="9">
        <v>250.1</v>
      </c>
      <c r="I74" s="289">
        <v>11000</v>
      </c>
      <c r="J74" s="289">
        <v>1009</v>
      </c>
      <c r="K74" s="289">
        <v>52090</v>
      </c>
      <c r="N74" s="419"/>
    </row>
    <row r="75" spans="2:16" x14ac:dyDescent="0.2">
      <c r="B75" s="28" t="s">
        <v>113</v>
      </c>
      <c r="C75" s="29" t="s">
        <v>83</v>
      </c>
      <c r="D75" s="9">
        <v>5655.22</v>
      </c>
      <c r="E75" s="9">
        <v>1516.63</v>
      </c>
      <c r="F75" s="9">
        <v>2579.7399999999998</v>
      </c>
      <c r="G75" s="9">
        <v>3567.41</v>
      </c>
      <c r="I75" s="289">
        <v>11000</v>
      </c>
      <c r="J75" s="289">
        <v>1009</v>
      </c>
      <c r="K75" s="289">
        <v>52020</v>
      </c>
      <c r="N75" s="419"/>
    </row>
    <row r="76" spans="2:16" x14ac:dyDescent="0.2">
      <c r="B76" s="28" t="s">
        <v>114</v>
      </c>
      <c r="C76" s="29" t="s">
        <v>85</v>
      </c>
      <c r="D76" s="9">
        <v>18.399999999999999</v>
      </c>
      <c r="E76" s="9">
        <v>9.1999999999999993</v>
      </c>
      <c r="F76" s="9">
        <v>13.8</v>
      </c>
      <c r="G76" s="9">
        <v>20.7</v>
      </c>
      <c r="I76" s="289">
        <v>11000</v>
      </c>
      <c r="J76" s="289">
        <v>1009</v>
      </c>
      <c r="K76" s="289">
        <v>52100</v>
      </c>
    </row>
    <row r="77" spans="2:16" ht="13.5" thickBot="1" x14ac:dyDescent="0.25">
      <c r="B77" s="26" t="s">
        <v>115</v>
      </c>
      <c r="C77" s="27" t="s">
        <v>93</v>
      </c>
      <c r="D77" s="12">
        <v>97.5</v>
      </c>
      <c r="E77" s="12">
        <v>26.15</v>
      </c>
      <c r="F77" s="12">
        <v>48.65</v>
      </c>
      <c r="G77" s="12">
        <v>71.150000000000006</v>
      </c>
      <c r="I77" s="289">
        <v>11000</v>
      </c>
      <c r="J77" s="289">
        <v>1009</v>
      </c>
      <c r="K77" s="289">
        <v>52040</v>
      </c>
    </row>
    <row r="78" spans="2:16" x14ac:dyDescent="0.2">
      <c r="B78" s="24" t="s">
        <v>116</v>
      </c>
      <c r="C78" s="25" t="s">
        <v>117</v>
      </c>
      <c r="D78" s="17">
        <v>1000</v>
      </c>
      <c r="E78" s="17">
        <v>0</v>
      </c>
      <c r="F78" s="17">
        <v>0</v>
      </c>
      <c r="G78" s="17">
        <v>0</v>
      </c>
      <c r="I78" s="289">
        <v>11000</v>
      </c>
      <c r="J78" s="289">
        <v>1009</v>
      </c>
      <c r="K78" s="289">
        <v>53050</v>
      </c>
    </row>
    <row r="79" spans="2:16" x14ac:dyDescent="0.2">
      <c r="B79" s="28" t="s">
        <v>118</v>
      </c>
      <c r="C79" s="29" t="s">
        <v>60</v>
      </c>
      <c r="D79" s="9">
        <v>1000</v>
      </c>
      <c r="E79" s="9">
        <v>0</v>
      </c>
      <c r="F79" s="9">
        <v>0</v>
      </c>
      <c r="G79" s="9">
        <v>0</v>
      </c>
      <c r="I79" s="289">
        <v>11000</v>
      </c>
      <c r="J79" s="289">
        <v>1009</v>
      </c>
      <c r="K79" s="289">
        <v>57050</v>
      </c>
    </row>
    <row r="80" spans="2:16" x14ac:dyDescent="0.2">
      <c r="B80" s="28" t="s">
        <v>119</v>
      </c>
      <c r="C80" s="29" t="s">
        <v>62</v>
      </c>
      <c r="D80" s="9">
        <v>2200</v>
      </c>
      <c r="E80" s="9">
        <v>120</v>
      </c>
      <c r="F80" s="9">
        <v>120</v>
      </c>
      <c r="G80" s="9">
        <v>120</v>
      </c>
      <c r="I80" s="289">
        <v>11000</v>
      </c>
      <c r="J80" s="289">
        <v>1009</v>
      </c>
      <c r="K80" s="289">
        <v>53999</v>
      </c>
    </row>
    <row r="81" spans="2:14" x14ac:dyDescent="0.2">
      <c r="B81" s="28" t="s">
        <v>120</v>
      </c>
      <c r="C81" s="29" t="s">
        <v>121</v>
      </c>
      <c r="D81" s="9">
        <v>500</v>
      </c>
      <c r="E81" s="9">
        <v>200</v>
      </c>
      <c r="F81" s="9">
        <v>200</v>
      </c>
      <c r="G81" s="9">
        <v>200</v>
      </c>
      <c r="I81" s="289">
        <v>11000</v>
      </c>
      <c r="J81" s="289">
        <v>1009</v>
      </c>
      <c r="K81" s="289">
        <v>55030</v>
      </c>
    </row>
    <row r="82" spans="2:14" x14ac:dyDescent="0.2">
      <c r="B82" s="28" t="s">
        <v>122</v>
      </c>
      <c r="C82" s="29" t="s">
        <v>123</v>
      </c>
      <c r="D82" s="9">
        <v>1020</v>
      </c>
      <c r="E82" s="9">
        <v>0</v>
      </c>
      <c r="F82" s="9">
        <v>0</v>
      </c>
      <c r="G82" s="9">
        <v>200</v>
      </c>
      <c r="I82" s="289">
        <v>11000</v>
      </c>
      <c r="J82" s="289">
        <v>1009</v>
      </c>
      <c r="K82" s="289">
        <v>55999</v>
      </c>
    </row>
    <row r="83" spans="2:14" x14ac:dyDescent="0.2">
      <c r="B83" s="28" t="s">
        <v>124</v>
      </c>
      <c r="C83" s="29" t="s">
        <v>125</v>
      </c>
      <c r="D83" s="9">
        <v>1000</v>
      </c>
      <c r="E83" s="9">
        <v>240</v>
      </c>
      <c r="F83" s="9">
        <f>934.45+26.94</f>
        <v>961.3900000000001</v>
      </c>
      <c r="G83" s="9">
        <f>934.45+26.94</f>
        <v>961.3900000000001</v>
      </c>
      <c r="I83" s="289">
        <v>11000</v>
      </c>
      <c r="J83" s="289">
        <v>1009</v>
      </c>
      <c r="K83" s="289">
        <v>56999</v>
      </c>
    </row>
    <row r="84" spans="2:14" x14ac:dyDescent="0.2">
      <c r="B84" s="28" t="s">
        <v>126</v>
      </c>
      <c r="C84" s="29" t="s">
        <v>127</v>
      </c>
      <c r="D84" s="9">
        <v>1200</v>
      </c>
      <c r="E84" s="9">
        <v>0</v>
      </c>
      <c r="F84" s="9">
        <v>0</v>
      </c>
      <c r="G84" s="9">
        <v>346</v>
      </c>
      <c r="I84" s="289">
        <v>11000</v>
      </c>
      <c r="J84" s="289">
        <v>1009</v>
      </c>
      <c r="K84" s="289">
        <v>57080</v>
      </c>
    </row>
    <row r="85" spans="2:14" x14ac:dyDescent="0.2">
      <c r="B85" s="7" t="s">
        <v>893</v>
      </c>
      <c r="C85" s="8" t="s">
        <v>66</v>
      </c>
      <c r="D85" s="283">
        <v>1000</v>
      </c>
      <c r="E85" s="9">
        <v>0</v>
      </c>
      <c r="F85" s="9">
        <v>0</v>
      </c>
      <c r="G85" s="9">
        <v>0</v>
      </c>
      <c r="I85" s="289">
        <v>11000</v>
      </c>
      <c r="J85" s="289">
        <v>1007</v>
      </c>
      <c r="K85" s="289">
        <v>56999</v>
      </c>
    </row>
    <row r="86" spans="2:14" ht="13.5" thickBot="1" x14ac:dyDescent="0.25">
      <c r="B86" s="26" t="s">
        <v>128</v>
      </c>
      <c r="C86" s="27" t="s">
        <v>129</v>
      </c>
      <c r="D86" s="12">
        <v>2400</v>
      </c>
      <c r="E86" s="12">
        <v>0</v>
      </c>
      <c r="F86" s="12">
        <v>103</v>
      </c>
      <c r="G86" s="12">
        <v>103</v>
      </c>
      <c r="I86" s="289">
        <v>11000</v>
      </c>
      <c r="J86" s="289">
        <v>1009</v>
      </c>
      <c r="K86" s="289">
        <v>58020</v>
      </c>
    </row>
    <row r="87" spans="2:14" ht="13.5" thickBot="1" x14ac:dyDescent="0.25">
      <c r="C87" s="15" t="s">
        <v>67</v>
      </c>
      <c r="D87" s="303">
        <f t="shared" ref="D87:F87" si="5">SUM(D69:D86)</f>
        <v>101336.27</v>
      </c>
      <c r="E87" s="303">
        <f t="shared" si="5"/>
        <v>25177.560000000005</v>
      </c>
      <c r="F87" s="303">
        <f t="shared" si="5"/>
        <v>43600.76</v>
      </c>
      <c r="G87" s="303">
        <f t="shared" ref="G87" si="6">SUM(G69:G86)</f>
        <v>59507.689999999995</v>
      </c>
      <c r="I87" s="289"/>
      <c r="J87" s="289"/>
      <c r="K87" s="289"/>
    </row>
    <row r="88" spans="2:14" ht="14.25" thickTop="1" thickBot="1" x14ac:dyDescent="0.25">
      <c r="I88" s="289"/>
    </row>
    <row r="89" spans="2:14" ht="13.5" thickBot="1" x14ac:dyDescent="0.25">
      <c r="B89" s="4" t="s">
        <v>130</v>
      </c>
      <c r="C89" s="5"/>
      <c r="D89" s="301"/>
      <c r="E89" s="301"/>
      <c r="F89" s="301"/>
      <c r="G89" s="302"/>
      <c r="I89" s="289"/>
      <c r="J89" s="289"/>
      <c r="K89" s="289"/>
    </row>
    <row r="90" spans="2:14" x14ac:dyDescent="0.2">
      <c r="B90" s="28" t="s">
        <v>131</v>
      </c>
      <c r="C90" s="29" t="s">
        <v>76</v>
      </c>
      <c r="D90" s="9">
        <v>62097.15</v>
      </c>
      <c r="E90" s="9">
        <v>7665.99</v>
      </c>
      <c r="F90" s="9">
        <v>22133.67</v>
      </c>
      <c r="G90" s="9">
        <v>39835.230000000003</v>
      </c>
      <c r="I90" s="289">
        <v>11000</v>
      </c>
      <c r="J90" s="289">
        <v>3001</v>
      </c>
      <c r="K90" s="289">
        <v>51020</v>
      </c>
      <c r="L90" s="335"/>
      <c r="N90" s="335"/>
    </row>
    <row r="91" spans="2:14" x14ac:dyDescent="0.2">
      <c r="B91" s="28" t="s">
        <v>132</v>
      </c>
      <c r="C91" s="29" t="s">
        <v>78</v>
      </c>
      <c r="D91" s="9">
        <v>743821</v>
      </c>
      <c r="E91" s="9">
        <v>176656.94</v>
      </c>
      <c r="F91" s="9">
        <v>302483.27</v>
      </c>
      <c r="G91" s="9">
        <v>436465.24</v>
      </c>
      <c r="I91" s="289">
        <v>11000</v>
      </c>
      <c r="J91" s="289">
        <v>3001</v>
      </c>
      <c r="K91" s="289">
        <v>51020</v>
      </c>
      <c r="L91" s="335"/>
      <c r="M91" s="335"/>
      <c r="N91" s="335"/>
    </row>
    <row r="92" spans="2:14" x14ac:dyDescent="0.2">
      <c r="B92" s="28" t="s">
        <v>133</v>
      </c>
      <c r="C92" s="29" t="s">
        <v>134</v>
      </c>
      <c r="D92" s="9">
        <v>55000</v>
      </c>
      <c r="E92" s="9">
        <v>14772.82</v>
      </c>
      <c r="F92" s="9">
        <v>23680.22</v>
      </c>
      <c r="G92" s="9">
        <v>36262.69</v>
      </c>
      <c r="I92" s="289">
        <v>11000</v>
      </c>
      <c r="J92" s="289">
        <v>3001</v>
      </c>
      <c r="K92" s="289">
        <v>51060</v>
      </c>
      <c r="L92" s="335"/>
      <c r="N92" s="335"/>
    </row>
    <row r="93" spans="2:14" x14ac:dyDescent="0.2">
      <c r="B93" s="28" t="s">
        <v>135</v>
      </c>
      <c r="C93" s="29" t="s">
        <v>136</v>
      </c>
      <c r="D93" s="9">
        <v>5460</v>
      </c>
      <c r="E93" s="9">
        <v>0</v>
      </c>
      <c r="F93" s="9">
        <v>3630</v>
      </c>
      <c r="G93" s="9">
        <v>4890</v>
      </c>
      <c r="I93" s="289">
        <v>11000</v>
      </c>
      <c r="J93" s="289">
        <v>3001</v>
      </c>
      <c r="K93" s="289">
        <v>51020</v>
      </c>
      <c r="N93" s="335"/>
    </row>
    <row r="94" spans="2:14" x14ac:dyDescent="0.2">
      <c r="B94" s="28" t="s">
        <v>137</v>
      </c>
      <c r="C94" s="29" t="s">
        <v>58</v>
      </c>
      <c r="D94" s="9">
        <v>12562.35</v>
      </c>
      <c r="E94" s="9">
        <v>2593.39</v>
      </c>
      <c r="F94" s="9">
        <v>4570.1099999999997</v>
      </c>
      <c r="G94" s="9">
        <v>6735.87</v>
      </c>
      <c r="I94" s="289">
        <v>11000</v>
      </c>
      <c r="J94" s="289">
        <v>3001</v>
      </c>
      <c r="K94" s="289">
        <v>52011</v>
      </c>
      <c r="N94" s="335"/>
    </row>
    <row r="95" spans="2:14" x14ac:dyDescent="0.2">
      <c r="B95" s="28" t="s">
        <v>138</v>
      </c>
      <c r="C95" s="29" t="s">
        <v>81</v>
      </c>
      <c r="D95" s="9">
        <v>3032.29</v>
      </c>
      <c r="E95" s="9">
        <v>560.44000000000005</v>
      </c>
      <c r="F95" s="9">
        <v>890.26</v>
      </c>
      <c r="G95" s="9">
        <v>1741.61</v>
      </c>
      <c r="I95" s="289">
        <v>11000</v>
      </c>
      <c r="J95" s="289">
        <v>3001</v>
      </c>
      <c r="K95" s="289">
        <v>52090</v>
      </c>
      <c r="N95" s="335"/>
    </row>
    <row r="96" spans="2:14" x14ac:dyDescent="0.2">
      <c r="B96" s="28" t="s">
        <v>139</v>
      </c>
      <c r="C96" s="29" t="s">
        <v>83</v>
      </c>
      <c r="D96" s="9">
        <v>88860.45</v>
      </c>
      <c r="E96" s="9">
        <v>19280.7</v>
      </c>
      <c r="F96" s="9">
        <v>33559.160000000003</v>
      </c>
      <c r="G96" s="9">
        <v>49240.2</v>
      </c>
      <c r="I96" s="289">
        <v>11000</v>
      </c>
      <c r="J96" s="289">
        <v>3001</v>
      </c>
      <c r="K96" s="289">
        <v>52020</v>
      </c>
      <c r="N96" s="335"/>
    </row>
    <row r="97" spans="2:14" x14ac:dyDescent="0.2">
      <c r="B97" s="28" t="s">
        <v>140</v>
      </c>
      <c r="C97" s="29" t="s">
        <v>85</v>
      </c>
      <c r="D97" s="9">
        <v>167.27</v>
      </c>
      <c r="E97" s="9">
        <v>50.6</v>
      </c>
      <c r="F97" s="9">
        <v>78.2</v>
      </c>
      <c r="G97" s="9">
        <v>108.1</v>
      </c>
      <c r="I97" s="289">
        <v>11000</v>
      </c>
      <c r="J97" s="289">
        <v>3001</v>
      </c>
      <c r="K97" s="289">
        <v>52100</v>
      </c>
      <c r="N97" s="335"/>
    </row>
    <row r="98" spans="2:14" x14ac:dyDescent="0.2">
      <c r="B98" s="28" t="s">
        <v>141</v>
      </c>
      <c r="C98" s="29" t="s">
        <v>87</v>
      </c>
      <c r="D98" s="9">
        <v>95527.55</v>
      </c>
      <c r="E98" s="9">
        <v>18640.62</v>
      </c>
      <c r="F98" s="9">
        <v>33447.22</v>
      </c>
      <c r="G98" s="9">
        <v>45395.37</v>
      </c>
      <c r="I98" s="289">
        <v>11000</v>
      </c>
      <c r="J98" s="289">
        <v>3001</v>
      </c>
      <c r="K98" s="289">
        <v>52030</v>
      </c>
      <c r="N98" s="335"/>
    </row>
    <row r="99" spans="2:14" x14ac:dyDescent="0.2">
      <c r="B99" s="28" t="s">
        <v>142</v>
      </c>
      <c r="C99" s="29" t="s">
        <v>89</v>
      </c>
      <c r="D99" s="9">
        <v>6940.54</v>
      </c>
      <c r="E99" s="9">
        <v>1096.9100000000001</v>
      </c>
      <c r="F99" s="9">
        <v>1954.6</v>
      </c>
      <c r="G99" s="9">
        <v>2890.66</v>
      </c>
      <c r="I99" s="289">
        <v>11000</v>
      </c>
      <c r="J99" s="289">
        <v>3001</v>
      </c>
      <c r="K99" s="289">
        <v>52050</v>
      </c>
      <c r="N99" s="335"/>
    </row>
    <row r="100" spans="2:14" x14ac:dyDescent="0.2">
      <c r="B100" s="28" t="s">
        <v>143</v>
      </c>
      <c r="C100" s="29" t="s">
        <v>91</v>
      </c>
      <c r="D100" s="9">
        <v>1299.5</v>
      </c>
      <c r="E100" s="9">
        <v>252.93</v>
      </c>
      <c r="F100" s="9">
        <v>442.51</v>
      </c>
      <c r="G100" s="9">
        <v>615.98</v>
      </c>
      <c r="I100" s="289">
        <v>11000</v>
      </c>
      <c r="J100" s="289">
        <v>3001</v>
      </c>
      <c r="K100" s="289">
        <v>52060</v>
      </c>
      <c r="N100" s="335"/>
    </row>
    <row r="101" spans="2:14" ht="13.5" thickBot="1" x14ac:dyDescent="0.25">
      <c r="B101" s="26" t="s">
        <v>144</v>
      </c>
      <c r="C101" s="27" t="s">
        <v>93</v>
      </c>
      <c r="D101" s="12">
        <v>1871.22</v>
      </c>
      <c r="E101" s="12">
        <v>303.69</v>
      </c>
      <c r="F101" s="12">
        <v>565.17999999999995</v>
      </c>
      <c r="G101" s="12">
        <v>857.92</v>
      </c>
      <c r="I101" s="289">
        <v>11000</v>
      </c>
      <c r="J101" s="289">
        <v>3001</v>
      </c>
      <c r="K101" s="289">
        <v>52040</v>
      </c>
      <c r="N101" s="335"/>
    </row>
    <row r="102" spans="2:14" x14ac:dyDescent="0.2">
      <c r="B102" s="28" t="s">
        <v>145</v>
      </c>
      <c r="C102" s="29" t="s">
        <v>146</v>
      </c>
      <c r="D102" s="17">
        <v>2500</v>
      </c>
      <c r="E102" s="17">
        <v>0</v>
      </c>
      <c r="F102" s="9">
        <v>1200</v>
      </c>
      <c r="G102" s="9">
        <v>1200</v>
      </c>
      <c r="I102" s="289">
        <v>11000</v>
      </c>
      <c r="J102" s="289">
        <v>3001</v>
      </c>
      <c r="K102" s="289">
        <v>57050</v>
      </c>
    </row>
    <row r="103" spans="2:14" x14ac:dyDescent="0.2">
      <c r="B103" s="28" t="s">
        <v>147</v>
      </c>
      <c r="C103" s="29" t="s">
        <v>148</v>
      </c>
      <c r="D103" s="9">
        <v>800</v>
      </c>
      <c r="E103" s="9">
        <v>328</v>
      </c>
      <c r="F103" s="9">
        <v>503.2</v>
      </c>
      <c r="G103" s="9">
        <v>631.20000000000005</v>
      </c>
      <c r="I103" s="289">
        <v>11000</v>
      </c>
      <c r="J103" s="289">
        <v>3001</v>
      </c>
      <c r="K103" s="289">
        <v>53999</v>
      </c>
    </row>
    <row r="104" spans="2:14" x14ac:dyDescent="0.2">
      <c r="B104" s="28" t="s">
        <v>149</v>
      </c>
      <c r="C104" s="29" t="s">
        <v>150</v>
      </c>
      <c r="D104" s="9">
        <v>15000</v>
      </c>
      <c r="E104" s="9">
        <f>1080.09+410</f>
        <v>1490.09</v>
      </c>
      <c r="F104" s="9">
        <f>5254.58+2322.06+210</f>
        <v>7786.6399999999994</v>
      </c>
      <c r="G104" s="9">
        <f>9041.64-134</f>
        <v>8907.64</v>
      </c>
      <c r="I104" s="289">
        <v>11000</v>
      </c>
      <c r="J104" s="289">
        <v>3001</v>
      </c>
      <c r="K104" s="289">
        <v>54040</v>
      </c>
    </row>
    <row r="105" spans="2:14" x14ac:dyDescent="0.2">
      <c r="B105" s="28" t="s">
        <v>151</v>
      </c>
      <c r="C105" s="29" t="s">
        <v>152</v>
      </c>
      <c r="D105" s="9">
        <v>2000</v>
      </c>
      <c r="E105" s="9">
        <f>8.3+599.36</f>
        <v>607.66</v>
      </c>
      <c r="F105" s="9">
        <f>390.44+599.36</f>
        <v>989.8</v>
      </c>
      <c r="G105" s="9">
        <f>1363.64+599.36</f>
        <v>1963</v>
      </c>
      <c r="I105" s="289">
        <v>11000</v>
      </c>
      <c r="J105" s="289">
        <v>3001</v>
      </c>
      <c r="K105" s="289">
        <v>54999</v>
      </c>
    </row>
    <row r="106" spans="2:14" x14ac:dyDescent="0.2">
      <c r="B106" s="28" t="s">
        <v>153</v>
      </c>
      <c r="C106" s="29" t="s">
        <v>154</v>
      </c>
      <c r="D106" s="9">
        <v>3000</v>
      </c>
      <c r="E106" s="9">
        <v>2006.79</v>
      </c>
      <c r="F106" s="9">
        <v>2006.79</v>
      </c>
      <c r="G106" s="9">
        <v>1236.9000000000001</v>
      </c>
      <c r="I106" s="289">
        <v>11000</v>
      </c>
      <c r="J106" s="289">
        <v>3001</v>
      </c>
      <c r="K106" s="289">
        <v>56090</v>
      </c>
    </row>
    <row r="107" spans="2:14" x14ac:dyDescent="0.2">
      <c r="B107" s="28" t="s">
        <v>155</v>
      </c>
      <c r="C107" s="29" t="s">
        <v>156</v>
      </c>
      <c r="D107" s="9">
        <v>135000</v>
      </c>
      <c r="E107" s="9">
        <v>42777.58</v>
      </c>
      <c r="F107" s="9">
        <v>70600.33</v>
      </c>
      <c r="G107" s="9">
        <v>91938.47</v>
      </c>
      <c r="I107" s="289">
        <v>11000</v>
      </c>
      <c r="J107" s="289">
        <v>3001</v>
      </c>
      <c r="K107" s="289">
        <v>57030</v>
      </c>
    </row>
    <row r="108" spans="2:14" x14ac:dyDescent="0.2">
      <c r="B108" s="28" t="s">
        <v>157</v>
      </c>
      <c r="C108" s="29" t="s">
        <v>103</v>
      </c>
      <c r="D108" s="9">
        <v>1000</v>
      </c>
      <c r="E108" s="9">
        <v>163.72</v>
      </c>
      <c r="F108" s="9">
        <v>232.41</v>
      </c>
      <c r="G108" s="9">
        <v>557.41</v>
      </c>
      <c r="I108" s="289">
        <v>11000</v>
      </c>
      <c r="J108" s="289">
        <v>3001</v>
      </c>
      <c r="K108" s="289">
        <v>57090</v>
      </c>
    </row>
    <row r="109" spans="2:14" x14ac:dyDescent="0.2">
      <c r="B109" s="28" t="s">
        <v>158</v>
      </c>
      <c r="C109" s="29" t="s">
        <v>159</v>
      </c>
      <c r="D109" s="9">
        <v>2000</v>
      </c>
      <c r="E109" s="9">
        <v>54.11</v>
      </c>
      <c r="F109" s="9">
        <v>571.97</v>
      </c>
      <c r="G109" s="9">
        <f>1123.41+129.82+129.82</f>
        <v>1383.05</v>
      </c>
      <c r="I109" s="289">
        <v>11000</v>
      </c>
      <c r="J109" s="289">
        <v>3001</v>
      </c>
      <c r="K109" s="289">
        <v>58020</v>
      </c>
    </row>
    <row r="110" spans="2:14" ht="13.5" thickBot="1" x14ac:dyDescent="0.25">
      <c r="B110" s="26" t="s">
        <v>160</v>
      </c>
      <c r="C110" s="27" t="s">
        <v>64</v>
      </c>
      <c r="D110" s="12">
        <v>200</v>
      </c>
      <c r="E110" s="12">
        <v>0</v>
      </c>
      <c r="F110" s="12">
        <v>0</v>
      </c>
      <c r="G110" s="12">
        <v>0</v>
      </c>
      <c r="I110" s="289">
        <v>11000</v>
      </c>
      <c r="J110" s="289">
        <v>3001</v>
      </c>
      <c r="K110" s="289">
        <v>57150</v>
      </c>
    </row>
    <row r="111" spans="2:14" ht="13.5" thickBot="1" x14ac:dyDescent="0.25">
      <c r="C111" s="15" t="s">
        <v>67</v>
      </c>
      <c r="D111" s="304">
        <f t="shared" ref="D111:F111" si="7">SUM(D90:D110)</f>
        <v>1238139.32</v>
      </c>
      <c r="E111" s="304">
        <f t="shared" si="7"/>
        <v>289302.98</v>
      </c>
      <c r="F111" s="304">
        <f t="shared" si="7"/>
        <v>511325.54000000004</v>
      </c>
      <c r="G111" s="304">
        <f>SUM(G90:G110)</f>
        <v>732856.54</v>
      </c>
      <c r="I111" s="289"/>
      <c r="J111" s="289"/>
      <c r="K111" s="289"/>
    </row>
    <row r="112" spans="2:14" ht="14.25" thickTop="1" thickBot="1" x14ac:dyDescent="0.25">
      <c r="D112" s="305"/>
      <c r="E112" s="305"/>
      <c r="F112" s="305"/>
      <c r="G112" s="305"/>
      <c r="I112" s="289"/>
    </row>
    <row r="113" spans="2:14" ht="13.5" thickBot="1" x14ac:dyDescent="0.25">
      <c r="B113" s="4" t="s">
        <v>947</v>
      </c>
      <c r="C113" s="5"/>
      <c r="D113" s="301"/>
      <c r="E113" s="301"/>
      <c r="F113" s="301"/>
      <c r="G113" s="302"/>
      <c r="I113" s="289"/>
      <c r="J113" s="289"/>
      <c r="K113" s="289"/>
    </row>
    <row r="114" spans="2:14" x14ac:dyDescent="0.2">
      <c r="B114" s="24" t="s">
        <v>931</v>
      </c>
      <c r="C114" s="25" t="s">
        <v>78</v>
      </c>
      <c r="D114" s="17">
        <v>16928</v>
      </c>
      <c r="E114" s="402">
        <v>0</v>
      </c>
      <c r="F114" s="17">
        <v>0</v>
      </c>
      <c r="G114" s="17">
        <v>2116</v>
      </c>
      <c r="I114" s="289">
        <v>52300</v>
      </c>
      <c r="J114" s="289">
        <v>9005</v>
      </c>
      <c r="K114" s="289">
        <v>51020</v>
      </c>
    </row>
    <row r="115" spans="2:14" x14ac:dyDescent="0.2">
      <c r="B115" s="28" t="s">
        <v>932</v>
      </c>
      <c r="C115" s="29" t="s">
        <v>58</v>
      </c>
      <c r="D115" s="9">
        <v>246</v>
      </c>
      <c r="E115" s="76">
        <v>0</v>
      </c>
      <c r="F115" s="9">
        <v>0</v>
      </c>
      <c r="G115" s="9">
        <v>30.68</v>
      </c>
      <c r="I115" s="289">
        <v>52300</v>
      </c>
      <c r="J115" s="289">
        <v>9005</v>
      </c>
      <c r="K115" s="289">
        <v>52011</v>
      </c>
    </row>
    <row r="116" spans="2:14" x14ac:dyDescent="0.2">
      <c r="B116" s="28" t="s">
        <v>933</v>
      </c>
      <c r="C116" s="29" t="s">
        <v>81</v>
      </c>
      <c r="D116" s="9">
        <v>60</v>
      </c>
      <c r="E116" s="76">
        <v>0</v>
      </c>
      <c r="F116" s="9">
        <v>0</v>
      </c>
      <c r="G116" s="9">
        <v>12.06</v>
      </c>
      <c r="I116" s="289">
        <v>52300</v>
      </c>
      <c r="J116" s="289">
        <v>9005</v>
      </c>
      <c r="K116" s="289">
        <v>52090</v>
      </c>
    </row>
    <row r="117" spans="2:14" x14ac:dyDescent="0.2">
      <c r="B117" s="28" t="s">
        <v>934</v>
      </c>
      <c r="C117" s="29" t="s">
        <v>83</v>
      </c>
      <c r="D117" s="9">
        <v>1380</v>
      </c>
      <c r="E117" s="76">
        <v>0</v>
      </c>
      <c r="F117" s="9">
        <v>0</v>
      </c>
      <c r="G117" s="9">
        <v>172.45</v>
      </c>
      <c r="I117" s="289">
        <v>52300</v>
      </c>
      <c r="J117" s="289">
        <v>9005</v>
      </c>
      <c r="K117" s="289">
        <v>52020</v>
      </c>
    </row>
    <row r="118" spans="2:14" x14ac:dyDescent="0.2">
      <c r="B118" s="28" t="s">
        <v>935</v>
      </c>
      <c r="C118" s="29" t="s">
        <v>85</v>
      </c>
      <c r="D118" s="9">
        <v>5</v>
      </c>
      <c r="E118" s="76">
        <v>0</v>
      </c>
      <c r="F118" s="9">
        <v>0</v>
      </c>
      <c r="G118" s="9">
        <v>1.39</v>
      </c>
      <c r="I118" s="289">
        <v>52300</v>
      </c>
      <c r="J118" s="289">
        <v>9005</v>
      </c>
      <c r="K118" s="289">
        <v>52100</v>
      </c>
    </row>
    <row r="119" spans="2:14" x14ac:dyDescent="0.2">
      <c r="B119" s="28" t="s">
        <v>936</v>
      </c>
      <c r="C119" s="29" t="s">
        <v>87</v>
      </c>
      <c r="D119" s="9">
        <v>3541</v>
      </c>
      <c r="E119" s="76">
        <v>0</v>
      </c>
      <c r="F119" s="9">
        <v>0</v>
      </c>
      <c r="G119" s="9">
        <v>0</v>
      </c>
      <c r="I119" s="289">
        <v>52300</v>
      </c>
      <c r="J119" s="289">
        <v>9005</v>
      </c>
      <c r="K119" s="289">
        <v>52030</v>
      </c>
    </row>
    <row r="120" spans="2:14" x14ac:dyDescent="0.2">
      <c r="B120" s="28" t="s">
        <v>937</v>
      </c>
      <c r="C120" s="29" t="s">
        <v>89</v>
      </c>
      <c r="D120" s="9">
        <v>200</v>
      </c>
      <c r="E120" s="76">
        <v>0</v>
      </c>
      <c r="F120" s="9">
        <v>0</v>
      </c>
      <c r="G120" s="9">
        <v>0</v>
      </c>
      <c r="I120" s="289">
        <v>52300</v>
      </c>
      <c r="J120" s="289">
        <v>9005</v>
      </c>
      <c r="K120" s="289">
        <v>52050</v>
      </c>
    </row>
    <row r="121" spans="2:14" x14ac:dyDescent="0.2">
      <c r="B121" s="28" t="s">
        <v>938</v>
      </c>
      <c r="C121" s="29" t="s">
        <v>91</v>
      </c>
      <c r="D121" s="9">
        <v>52</v>
      </c>
      <c r="E121" s="76">
        <v>0</v>
      </c>
      <c r="F121" s="9">
        <v>0</v>
      </c>
      <c r="G121" s="9">
        <v>0</v>
      </c>
      <c r="I121" s="289">
        <v>52300</v>
      </c>
      <c r="J121" s="289">
        <v>9005</v>
      </c>
      <c r="K121" s="289">
        <v>52060</v>
      </c>
    </row>
    <row r="122" spans="2:14" ht="13.5" thickBot="1" x14ac:dyDescent="0.25">
      <c r="B122" s="26" t="s">
        <v>939</v>
      </c>
      <c r="C122" s="27" t="s">
        <v>93</v>
      </c>
      <c r="D122" s="12">
        <v>30</v>
      </c>
      <c r="E122" s="317">
        <v>0</v>
      </c>
      <c r="F122" s="12">
        <v>0</v>
      </c>
      <c r="G122" s="12">
        <v>0</v>
      </c>
      <c r="I122" s="289">
        <v>52300</v>
      </c>
      <c r="J122" s="289">
        <v>9005</v>
      </c>
      <c r="K122" s="289">
        <v>52040</v>
      </c>
    </row>
    <row r="123" spans="2:14" x14ac:dyDescent="0.2">
      <c r="B123" s="7" t="s">
        <v>161</v>
      </c>
      <c r="C123" s="8" t="s">
        <v>162</v>
      </c>
      <c r="D123" s="9">
        <v>22500</v>
      </c>
      <c r="E123" s="9">
        <v>0</v>
      </c>
      <c r="F123" s="9">
        <f>71261.77-70811.97</f>
        <v>449.80000000000291</v>
      </c>
      <c r="G123" s="9">
        <f>71261.77-70811.97</f>
        <v>449.80000000000291</v>
      </c>
      <c r="I123" s="289">
        <v>11000</v>
      </c>
      <c r="J123" s="289">
        <v>4003</v>
      </c>
      <c r="K123" s="289">
        <v>54999</v>
      </c>
    </row>
    <row r="124" spans="2:14" ht="13.5" thickBot="1" x14ac:dyDescent="0.25">
      <c r="B124" s="26" t="s">
        <v>163</v>
      </c>
      <c r="C124" s="27" t="s">
        <v>125</v>
      </c>
      <c r="D124" s="12">
        <v>4500</v>
      </c>
      <c r="E124" s="12">
        <v>216.46</v>
      </c>
      <c r="F124" s="12">
        <v>258.66000000000003</v>
      </c>
      <c r="G124" s="12">
        <v>258.66000000000003</v>
      </c>
      <c r="I124" s="289">
        <v>11000</v>
      </c>
      <c r="J124" s="289">
        <v>4003</v>
      </c>
      <c r="K124" s="289">
        <v>56999</v>
      </c>
    </row>
    <row r="125" spans="2:14" ht="13.5" thickBot="1" x14ac:dyDescent="0.25">
      <c r="C125" s="15" t="s">
        <v>67</v>
      </c>
      <c r="D125" s="303">
        <f t="shared" ref="D125:F125" si="8">+SUM(D123:D124)</f>
        <v>27000</v>
      </c>
      <c r="E125" s="303">
        <f t="shared" si="8"/>
        <v>216.46</v>
      </c>
      <c r="F125" s="303">
        <f t="shared" si="8"/>
        <v>708.46000000000299</v>
      </c>
      <c r="G125" s="303">
        <f>+SUM(G114:G124)</f>
        <v>3041.0400000000022</v>
      </c>
      <c r="I125" s="289"/>
      <c r="J125" s="289"/>
      <c r="K125" s="289"/>
    </row>
    <row r="126" spans="2:14" ht="14.25" thickTop="1" thickBot="1" x14ac:dyDescent="0.25">
      <c r="I126" s="289"/>
    </row>
    <row r="127" spans="2:14" ht="13.5" thickBot="1" x14ac:dyDescent="0.25">
      <c r="B127" s="4" t="s">
        <v>164</v>
      </c>
      <c r="C127" s="5"/>
      <c r="D127" s="301"/>
      <c r="E127" s="301"/>
      <c r="F127" s="301"/>
      <c r="G127" s="302"/>
      <c r="I127" s="289"/>
      <c r="J127" s="289"/>
      <c r="K127" s="289"/>
    </row>
    <row r="128" spans="2:14" x14ac:dyDescent="0.2">
      <c r="B128" s="28" t="s">
        <v>165</v>
      </c>
      <c r="C128" s="29" t="s">
        <v>78</v>
      </c>
      <c r="D128" s="9">
        <v>234249.60000000001</v>
      </c>
      <c r="E128" s="9">
        <v>61925.21</v>
      </c>
      <c r="F128" s="9">
        <v>98053.68</v>
      </c>
      <c r="G128" s="9">
        <v>152107.76999999999</v>
      </c>
      <c r="I128" s="289">
        <v>11000</v>
      </c>
      <c r="J128" s="289">
        <v>5101</v>
      </c>
      <c r="K128" s="289">
        <v>51020</v>
      </c>
      <c r="L128" s="335"/>
      <c r="N128" s="335"/>
    </row>
    <row r="129" spans="2:14" x14ac:dyDescent="0.2">
      <c r="B129" s="28" t="s">
        <v>166</v>
      </c>
      <c r="C129" s="29" t="s">
        <v>167</v>
      </c>
      <c r="D129" s="9">
        <f>+'PAYROLL FY23'!I96</f>
        <v>4000</v>
      </c>
      <c r="E129" s="9">
        <v>2.65</v>
      </c>
      <c r="F129" s="9">
        <v>119.26</v>
      </c>
      <c r="G129" s="9">
        <v>120.68</v>
      </c>
      <c r="I129" s="289">
        <v>11000</v>
      </c>
      <c r="J129" s="289">
        <v>5101</v>
      </c>
      <c r="K129" s="289">
        <v>51060</v>
      </c>
      <c r="N129" s="335"/>
    </row>
    <row r="130" spans="2:14" x14ac:dyDescent="0.2">
      <c r="B130" s="28" t="s">
        <v>168</v>
      </c>
      <c r="C130" s="29" t="s">
        <v>58</v>
      </c>
      <c r="D130" s="9">
        <v>3454.62</v>
      </c>
      <c r="E130" s="9">
        <v>1440.69</v>
      </c>
      <c r="F130" s="9">
        <v>2238.14</v>
      </c>
      <c r="G130" s="9">
        <v>3393.67</v>
      </c>
      <c r="I130" s="289">
        <v>11000</v>
      </c>
      <c r="J130" s="289">
        <v>5101</v>
      </c>
      <c r="K130" s="289">
        <v>52011</v>
      </c>
      <c r="N130" s="335"/>
    </row>
    <row r="131" spans="2:14" x14ac:dyDescent="0.2">
      <c r="B131" s="28" t="s">
        <v>169</v>
      </c>
      <c r="C131" s="29" t="s">
        <v>81</v>
      </c>
      <c r="D131" s="9">
        <v>833.87</v>
      </c>
      <c r="E131" s="9">
        <v>339.22</v>
      </c>
      <c r="F131" s="9">
        <v>435.11</v>
      </c>
      <c r="G131" s="9">
        <v>738.26</v>
      </c>
      <c r="I131" s="289">
        <v>11000</v>
      </c>
      <c r="J131" s="289">
        <v>5101</v>
      </c>
      <c r="K131" s="289">
        <v>52090</v>
      </c>
      <c r="N131" s="335"/>
    </row>
    <row r="132" spans="2:14" x14ac:dyDescent="0.2">
      <c r="B132" s="28" t="s">
        <v>170</v>
      </c>
      <c r="C132" s="29" t="s">
        <v>83</v>
      </c>
      <c r="D132" s="9">
        <v>16633.3</v>
      </c>
      <c r="E132" s="9">
        <v>4201.53</v>
      </c>
      <c r="F132" s="9">
        <v>6596.66</v>
      </c>
      <c r="G132" s="9">
        <v>10434.77</v>
      </c>
      <c r="I132" s="289">
        <v>11000</v>
      </c>
      <c r="J132" s="289">
        <v>5101</v>
      </c>
      <c r="K132" s="289">
        <v>52020</v>
      </c>
      <c r="N132" s="335"/>
    </row>
    <row r="133" spans="2:14" x14ac:dyDescent="0.2">
      <c r="B133" s="28" t="s">
        <v>171</v>
      </c>
      <c r="C133" s="29" t="s">
        <v>85</v>
      </c>
      <c r="D133" s="9">
        <v>64.400000000000006</v>
      </c>
      <c r="E133" s="9">
        <v>27.6</v>
      </c>
      <c r="F133" s="9">
        <v>35.74</v>
      </c>
      <c r="G133" s="9">
        <v>50.31</v>
      </c>
      <c r="I133" s="289">
        <v>11000</v>
      </c>
      <c r="J133" s="289">
        <v>5101</v>
      </c>
      <c r="K133" s="289">
        <v>52100</v>
      </c>
      <c r="N133" s="335"/>
    </row>
    <row r="134" spans="2:14" x14ac:dyDescent="0.2">
      <c r="B134" s="28" t="s">
        <v>172</v>
      </c>
      <c r="C134" s="29" t="s">
        <v>87</v>
      </c>
      <c r="D134" s="9">
        <v>42717.7</v>
      </c>
      <c r="E134" s="9">
        <v>6808.99</v>
      </c>
      <c r="F134" s="9">
        <v>12787.35</v>
      </c>
      <c r="G134" s="9">
        <v>18028.59</v>
      </c>
      <c r="I134" s="289">
        <v>11000</v>
      </c>
      <c r="J134" s="289">
        <v>5101</v>
      </c>
      <c r="K134" s="289">
        <v>52030</v>
      </c>
      <c r="N134" s="335"/>
    </row>
    <row r="135" spans="2:14" x14ac:dyDescent="0.2">
      <c r="B135" s="28" t="s">
        <v>173</v>
      </c>
      <c r="C135" s="29" t="s">
        <v>89</v>
      </c>
      <c r="D135" s="9">
        <v>2234.44</v>
      </c>
      <c r="E135" s="9">
        <v>314.58</v>
      </c>
      <c r="F135" s="9">
        <v>584.22</v>
      </c>
      <c r="G135" s="9">
        <v>803.02</v>
      </c>
      <c r="I135" s="289">
        <v>11000</v>
      </c>
      <c r="J135" s="289">
        <v>5101</v>
      </c>
      <c r="K135" s="289">
        <v>52050</v>
      </c>
      <c r="N135" s="335"/>
    </row>
    <row r="136" spans="2:14" x14ac:dyDescent="0.2">
      <c r="B136" s="28" t="s">
        <v>174</v>
      </c>
      <c r="C136" s="29" t="s">
        <v>91</v>
      </c>
      <c r="D136" s="9">
        <v>476.48</v>
      </c>
      <c r="E136" s="9">
        <v>67.83</v>
      </c>
      <c r="F136" s="9">
        <v>125.97</v>
      </c>
      <c r="G136" s="9">
        <v>173.14</v>
      </c>
      <c r="I136" s="289">
        <v>11000</v>
      </c>
      <c r="J136" s="289">
        <v>5101</v>
      </c>
      <c r="K136" s="289">
        <v>52060</v>
      </c>
      <c r="N136" s="335"/>
    </row>
    <row r="137" spans="2:14" ht="13.5" thickBot="1" x14ac:dyDescent="0.25">
      <c r="B137" s="26" t="s">
        <v>175</v>
      </c>
      <c r="C137" s="27" t="s">
        <v>93</v>
      </c>
      <c r="D137" s="12">
        <v>759.2</v>
      </c>
      <c r="E137" s="12">
        <v>153.44</v>
      </c>
      <c r="F137" s="12">
        <v>257.47000000000003</v>
      </c>
      <c r="G137" s="12">
        <v>427.12</v>
      </c>
      <c r="I137" s="289">
        <v>11000</v>
      </c>
      <c r="J137" s="289">
        <v>5101</v>
      </c>
      <c r="K137" s="289">
        <v>52040</v>
      </c>
      <c r="N137" s="335"/>
    </row>
    <row r="138" spans="2:14" x14ac:dyDescent="0.2">
      <c r="B138" s="24" t="s">
        <v>176</v>
      </c>
      <c r="C138" s="25" t="s">
        <v>60</v>
      </c>
      <c r="D138" s="17">
        <v>400</v>
      </c>
      <c r="E138" s="17">
        <v>0</v>
      </c>
      <c r="F138" s="17">
        <v>0</v>
      </c>
      <c r="G138" s="17">
        <v>0</v>
      </c>
      <c r="I138" s="289">
        <v>11000</v>
      </c>
      <c r="J138" s="289">
        <v>5101</v>
      </c>
      <c r="K138" s="289">
        <v>57050</v>
      </c>
    </row>
    <row r="139" spans="2:14" x14ac:dyDescent="0.2">
      <c r="B139" s="28" t="s">
        <v>177</v>
      </c>
      <c r="C139" s="29" t="s">
        <v>62</v>
      </c>
      <c r="D139" s="9">
        <v>400</v>
      </c>
      <c r="E139" s="9">
        <v>0</v>
      </c>
      <c r="F139" s="9">
        <v>0</v>
      </c>
      <c r="G139" s="9">
        <v>0</v>
      </c>
      <c r="I139" s="289">
        <v>11000</v>
      </c>
      <c r="J139" s="289">
        <v>5101</v>
      </c>
      <c r="K139" s="289">
        <v>53999</v>
      </c>
    </row>
    <row r="140" spans="2:14" x14ac:dyDescent="0.2">
      <c r="B140" s="28" t="s">
        <v>178</v>
      </c>
      <c r="C140" s="29" t="s">
        <v>150</v>
      </c>
      <c r="D140" s="9">
        <v>7500</v>
      </c>
      <c r="E140" s="9">
        <v>30</v>
      </c>
      <c r="F140" s="9">
        <f>2702.19+162.55</f>
        <v>2864.7400000000002</v>
      </c>
      <c r="G140" s="9">
        <v>4466.7</v>
      </c>
      <c r="I140" s="289">
        <v>11000</v>
      </c>
      <c r="J140" s="289">
        <v>5101</v>
      </c>
      <c r="K140" s="289">
        <v>54040</v>
      </c>
    </row>
    <row r="141" spans="2:14" x14ac:dyDescent="0.2">
      <c r="B141" s="28" t="s">
        <v>179</v>
      </c>
      <c r="C141" s="29" t="s">
        <v>180</v>
      </c>
      <c r="D141" s="9">
        <v>5000</v>
      </c>
      <c r="E141" s="9">
        <v>0</v>
      </c>
      <c r="F141" s="9">
        <f>1937.63+523.17</f>
        <v>2460.8000000000002</v>
      </c>
      <c r="G141" s="9">
        <f>2440.81+1925.97</f>
        <v>4366.78</v>
      </c>
      <c r="I141" s="289">
        <v>11000</v>
      </c>
      <c r="J141" s="289">
        <v>5101</v>
      </c>
      <c r="K141" s="289">
        <v>54050</v>
      </c>
    </row>
    <row r="142" spans="2:14" x14ac:dyDescent="0.2">
      <c r="B142" s="28" t="s">
        <v>181</v>
      </c>
      <c r="C142" s="29" t="s">
        <v>182</v>
      </c>
      <c r="D142" s="9">
        <v>100000</v>
      </c>
      <c r="E142" s="9">
        <f>2950+18750</f>
        <v>21700</v>
      </c>
      <c r="F142" s="9">
        <v>15279.07</v>
      </c>
      <c r="G142" s="9">
        <v>29672.57</v>
      </c>
      <c r="I142" s="289">
        <v>11000</v>
      </c>
      <c r="J142" s="289">
        <v>5101</v>
      </c>
      <c r="K142" s="289">
        <v>54030</v>
      </c>
    </row>
    <row r="143" spans="2:14" x14ac:dyDescent="0.2">
      <c r="B143" s="7" t="s">
        <v>183</v>
      </c>
      <c r="C143" s="8" t="s">
        <v>184</v>
      </c>
      <c r="D143" s="9">
        <v>80000</v>
      </c>
      <c r="E143" s="9">
        <f>2721.62+757.91+3242.51</f>
        <v>6722.04</v>
      </c>
      <c r="F143" s="9">
        <f>18079.33+6637.67</f>
        <v>24717</v>
      </c>
      <c r="G143" s="9">
        <v>28781.15</v>
      </c>
      <c r="I143" s="289">
        <v>11000</v>
      </c>
      <c r="J143" s="289">
        <v>5101</v>
      </c>
      <c r="K143" s="289">
        <v>54999</v>
      </c>
    </row>
    <row r="144" spans="2:14" x14ac:dyDescent="0.2">
      <c r="B144" s="28" t="s">
        <v>185</v>
      </c>
      <c r="C144" s="29" t="s">
        <v>125</v>
      </c>
      <c r="D144" s="9">
        <v>6000</v>
      </c>
      <c r="E144" s="9">
        <v>2684.7</v>
      </c>
      <c r="F144" s="9">
        <v>2684.7</v>
      </c>
      <c r="G144" s="9">
        <v>5744.58</v>
      </c>
      <c r="I144" s="289">
        <v>11000</v>
      </c>
      <c r="J144" s="289">
        <v>5101</v>
      </c>
      <c r="K144" s="289">
        <v>56999</v>
      </c>
    </row>
    <row r="145" spans="2:14" x14ac:dyDescent="0.2">
      <c r="B145" s="28" t="s">
        <v>186</v>
      </c>
      <c r="C145" s="29" t="s">
        <v>187</v>
      </c>
      <c r="D145" s="9">
        <v>4000</v>
      </c>
      <c r="E145" s="9">
        <v>1123.8800000000001</v>
      </c>
      <c r="F145" s="9">
        <v>2958.09</v>
      </c>
      <c r="G145" s="9">
        <v>2958.09</v>
      </c>
      <c r="I145" s="289">
        <v>11000</v>
      </c>
      <c r="J145" s="289">
        <v>5101</v>
      </c>
      <c r="K145" s="289">
        <v>54060</v>
      </c>
    </row>
    <row r="146" spans="2:14" x14ac:dyDescent="0.2">
      <c r="B146" s="28" t="s">
        <v>188</v>
      </c>
      <c r="C146" s="29" t="s">
        <v>189</v>
      </c>
      <c r="D146" s="9">
        <v>3000</v>
      </c>
      <c r="E146" s="9">
        <v>0</v>
      </c>
      <c r="F146" s="9">
        <v>1800.41</v>
      </c>
      <c r="G146" s="9">
        <v>1800.41</v>
      </c>
      <c r="I146" s="289">
        <v>11000</v>
      </c>
      <c r="J146" s="289">
        <v>5101</v>
      </c>
      <c r="K146" s="289">
        <v>57999</v>
      </c>
    </row>
    <row r="147" spans="2:14" x14ac:dyDescent="0.2">
      <c r="B147" s="28" t="s">
        <v>190</v>
      </c>
      <c r="C147" s="29" t="s">
        <v>191</v>
      </c>
      <c r="D147" s="9">
        <v>4500</v>
      </c>
      <c r="E147" s="9">
        <v>0</v>
      </c>
      <c r="F147" s="9">
        <v>1579.38</v>
      </c>
      <c r="G147" s="9">
        <f>2100+2639.05</f>
        <v>4739.05</v>
      </c>
      <c r="I147" s="289">
        <v>11000</v>
      </c>
      <c r="J147" s="289">
        <v>5101</v>
      </c>
      <c r="K147" s="289">
        <v>56999</v>
      </c>
    </row>
    <row r="148" spans="2:14" x14ac:dyDescent="0.2">
      <c r="B148" s="28" t="s">
        <v>192</v>
      </c>
      <c r="C148" s="29" t="s">
        <v>159</v>
      </c>
      <c r="D148" s="9">
        <f>15000+6000</f>
        <v>21000</v>
      </c>
      <c r="E148" s="9">
        <v>2064.8000000000002</v>
      </c>
      <c r="F148" s="9">
        <v>2064.8000000000002</v>
      </c>
      <c r="G148" s="9">
        <f>2064.8+9187.2</f>
        <v>11252</v>
      </c>
      <c r="I148" s="289">
        <v>11000</v>
      </c>
      <c r="J148" s="289">
        <v>5101</v>
      </c>
      <c r="K148" s="289">
        <v>57130</v>
      </c>
    </row>
    <row r="149" spans="2:14" x14ac:dyDescent="0.2">
      <c r="B149" s="28" t="s">
        <v>193</v>
      </c>
      <c r="C149" s="29" t="s">
        <v>194</v>
      </c>
      <c r="D149" s="9">
        <v>20000</v>
      </c>
      <c r="E149" s="9">
        <v>18398</v>
      </c>
      <c r="F149" s="9">
        <v>18398</v>
      </c>
      <c r="G149" s="9">
        <v>19339.2</v>
      </c>
      <c r="I149" s="289">
        <v>11000</v>
      </c>
      <c r="J149" s="289">
        <v>5101</v>
      </c>
      <c r="K149" s="289">
        <v>58020</v>
      </c>
    </row>
    <row r="150" spans="2:14" ht="13.5" thickBot="1" x14ac:dyDescent="0.25">
      <c r="B150" s="26" t="s">
        <v>195</v>
      </c>
      <c r="C150" s="27" t="s">
        <v>196</v>
      </c>
      <c r="D150" s="12">
        <v>70000</v>
      </c>
      <c r="E150" s="12">
        <f>2351.76-1318.2</f>
        <v>1033.5600000000002</v>
      </c>
      <c r="F150" s="12">
        <f>1033.56+52045.9</f>
        <v>53079.46</v>
      </c>
      <c r="G150" s="12">
        <f>35662.49+26860.9</f>
        <v>62523.39</v>
      </c>
      <c r="I150" s="289">
        <v>11000</v>
      </c>
      <c r="J150" s="289">
        <v>5101</v>
      </c>
      <c r="K150" s="289">
        <v>58999</v>
      </c>
    </row>
    <row r="151" spans="2:14" ht="13.5" thickBot="1" x14ac:dyDescent="0.25">
      <c r="C151" s="15" t="s">
        <v>67</v>
      </c>
      <c r="D151" s="303">
        <f t="shared" ref="D151:F151" si="9">SUM(D128:D150)</f>
        <v>627223.61</v>
      </c>
      <c r="E151" s="303">
        <f t="shared" si="9"/>
        <v>129038.72000000002</v>
      </c>
      <c r="F151" s="303">
        <f t="shared" si="9"/>
        <v>249120.05000000002</v>
      </c>
      <c r="G151" s="303">
        <f>SUM(G128:G150)</f>
        <v>361921.25</v>
      </c>
      <c r="I151" s="289"/>
      <c r="J151" s="289"/>
      <c r="K151" s="289"/>
    </row>
    <row r="152" spans="2:14" ht="14.25" thickTop="1" thickBot="1" x14ac:dyDescent="0.25">
      <c r="I152" s="289"/>
    </row>
    <row r="153" spans="2:14" ht="13.5" thickBot="1" x14ac:dyDescent="0.25">
      <c r="B153" s="4" t="s">
        <v>197</v>
      </c>
      <c r="C153" s="5"/>
      <c r="D153" s="301"/>
      <c r="E153" s="301"/>
      <c r="F153" s="301"/>
      <c r="G153" s="302"/>
      <c r="I153" s="289"/>
      <c r="J153" s="289"/>
      <c r="K153" s="289"/>
    </row>
    <row r="154" spans="2:14" x14ac:dyDescent="0.2">
      <c r="B154" s="7" t="s">
        <v>198</v>
      </c>
      <c r="C154" s="8" t="s">
        <v>78</v>
      </c>
      <c r="D154" s="9">
        <v>69292.08</v>
      </c>
      <c r="E154" s="9">
        <v>20613.98</v>
      </c>
      <c r="F154" s="9">
        <v>36248</v>
      </c>
      <c r="G154" s="9">
        <v>52253.25</v>
      </c>
      <c r="H154" s="468"/>
      <c r="I154" s="292">
        <v>11000</v>
      </c>
      <c r="J154" s="292">
        <v>4004</v>
      </c>
      <c r="K154" s="292">
        <v>51020</v>
      </c>
      <c r="L154" s="335"/>
      <c r="N154" s="335"/>
    </row>
    <row r="155" spans="2:14" x14ac:dyDescent="0.2">
      <c r="B155" s="28" t="s">
        <v>199</v>
      </c>
      <c r="C155" s="29" t="s">
        <v>109</v>
      </c>
      <c r="D155" s="9">
        <v>21866</v>
      </c>
      <c r="E155" s="9">
        <v>0</v>
      </c>
      <c r="F155" s="9">
        <v>1829.43</v>
      </c>
      <c r="G155" s="9">
        <v>6781.91</v>
      </c>
      <c r="H155" s="468"/>
      <c r="I155" s="292">
        <v>11000</v>
      </c>
      <c r="J155" s="292">
        <v>4004</v>
      </c>
      <c r="K155" s="292">
        <v>51040</v>
      </c>
      <c r="L155" s="335"/>
      <c r="M155" s="335"/>
      <c r="N155" s="335"/>
    </row>
    <row r="156" spans="2:14" x14ac:dyDescent="0.2">
      <c r="B156" s="28" t="s">
        <v>200</v>
      </c>
      <c r="C156" s="29" t="s">
        <v>201</v>
      </c>
      <c r="D156" s="9">
        <v>1321.79</v>
      </c>
      <c r="E156" s="9">
        <v>292.98</v>
      </c>
      <c r="F156" s="9">
        <v>540.88</v>
      </c>
      <c r="G156" s="9">
        <v>840.64</v>
      </c>
      <c r="H156" s="468"/>
      <c r="I156" s="292">
        <v>11000</v>
      </c>
      <c r="J156" s="292">
        <v>4004</v>
      </c>
      <c r="K156" s="292">
        <v>52011</v>
      </c>
      <c r="N156" s="335"/>
    </row>
    <row r="157" spans="2:14" x14ac:dyDescent="0.2">
      <c r="B157" s="28" t="s">
        <v>202</v>
      </c>
      <c r="C157" s="29" t="s">
        <v>81</v>
      </c>
      <c r="D157" s="9">
        <v>319.05</v>
      </c>
      <c r="E157" s="9">
        <v>115.14</v>
      </c>
      <c r="F157" s="9">
        <v>185.46</v>
      </c>
      <c r="G157" s="9">
        <v>303.3</v>
      </c>
      <c r="H157" s="468"/>
      <c r="I157" s="292">
        <v>11000</v>
      </c>
      <c r="J157" s="292">
        <v>4004</v>
      </c>
      <c r="K157" s="292">
        <v>52090</v>
      </c>
      <c r="N157" s="335"/>
    </row>
    <row r="158" spans="2:14" x14ac:dyDescent="0.2">
      <c r="B158" s="28" t="s">
        <v>203</v>
      </c>
      <c r="C158" s="29" t="s">
        <v>83</v>
      </c>
      <c r="D158" s="9">
        <v>7429.38</v>
      </c>
      <c r="E158" s="9">
        <v>1665.62</v>
      </c>
      <c r="F158" s="9">
        <v>3080.9</v>
      </c>
      <c r="G158" s="9">
        <v>4785.46</v>
      </c>
      <c r="H158" s="468"/>
      <c r="I158" s="292">
        <v>11000</v>
      </c>
      <c r="J158" s="292">
        <v>4004</v>
      </c>
      <c r="K158" s="292">
        <v>52020</v>
      </c>
      <c r="N158" s="335"/>
    </row>
    <row r="159" spans="2:14" x14ac:dyDescent="0.2">
      <c r="B159" s="28" t="s">
        <v>204</v>
      </c>
      <c r="C159" s="29" t="s">
        <v>85</v>
      </c>
      <c r="D159" s="9">
        <v>27.6</v>
      </c>
      <c r="E159" s="9">
        <v>9.1999999999999993</v>
      </c>
      <c r="F159" s="9">
        <v>13.8</v>
      </c>
      <c r="G159" s="9">
        <v>20.7</v>
      </c>
      <c r="H159" s="468"/>
      <c r="I159" s="292">
        <v>11000</v>
      </c>
      <c r="J159" s="292">
        <v>4004</v>
      </c>
      <c r="K159" s="292">
        <v>52100</v>
      </c>
      <c r="N159" s="335"/>
    </row>
    <row r="160" spans="2:14" x14ac:dyDescent="0.2">
      <c r="B160" s="28" t="s">
        <v>205</v>
      </c>
      <c r="C160" s="29" t="s">
        <v>206</v>
      </c>
      <c r="D160" s="9">
        <v>5035.2</v>
      </c>
      <c r="E160" s="9">
        <v>1468.6</v>
      </c>
      <c r="F160" s="9">
        <v>2727.4</v>
      </c>
      <c r="G160" s="9">
        <v>3776.4</v>
      </c>
      <c r="H160" s="468"/>
      <c r="I160" s="292">
        <v>11000</v>
      </c>
      <c r="J160" s="292">
        <v>4004</v>
      </c>
      <c r="K160" s="292">
        <v>52030</v>
      </c>
      <c r="N160" s="335"/>
    </row>
    <row r="161" spans="2:14" x14ac:dyDescent="0.2">
      <c r="B161" s="28" t="s">
        <v>207</v>
      </c>
      <c r="C161" s="29" t="s">
        <v>89</v>
      </c>
      <c r="D161" s="9">
        <v>359.52</v>
      </c>
      <c r="E161" s="9">
        <v>104.86</v>
      </c>
      <c r="F161" s="9">
        <v>194.74</v>
      </c>
      <c r="G161" s="9">
        <v>269.64</v>
      </c>
      <c r="H161" s="468"/>
      <c r="I161" s="292">
        <v>11000</v>
      </c>
      <c r="J161" s="292">
        <v>4004</v>
      </c>
      <c r="K161" s="292">
        <v>52050</v>
      </c>
      <c r="N161" s="335"/>
    </row>
    <row r="162" spans="2:14" x14ac:dyDescent="0.2">
      <c r="B162" s="28" t="s">
        <v>754</v>
      </c>
      <c r="C162" s="29" t="s">
        <v>91</v>
      </c>
      <c r="D162" s="9">
        <v>77.569999999999993</v>
      </c>
      <c r="E162" s="9">
        <v>22.61</v>
      </c>
      <c r="F162" s="9">
        <v>41.99</v>
      </c>
      <c r="G162" s="9">
        <v>58.14</v>
      </c>
      <c r="H162" s="468"/>
      <c r="I162" s="292">
        <v>11000</v>
      </c>
      <c r="J162" s="292">
        <v>4004</v>
      </c>
      <c r="K162" s="292">
        <v>52060</v>
      </c>
      <c r="N162" s="335"/>
    </row>
    <row r="163" spans="2:14" ht="13.5" thickBot="1" x14ac:dyDescent="0.25">
      <c r="B163" s="28" t="s">
        <v>209</v>
      </c>
      <c r="C163" s="29" t="s">
        <v>93</v>
      </c>
      <c r="D163" s="9">
        <v>189.8</v>
      </c>
      <c r="E163" s="12">
        <v>51.1</v>
      </c>
      <c r="F163" s="12">
        <v>94.9</v>
      </c>
      <c r="G163" s="12">
        <v>138.69999999999999</v>
      </c>
      <c r="H163" s="468"/>
      <c r="I163" s="292">
        <v>11000</v>
      </c>
      <c r="J163" s="292">
        <v>4004</v>
      </c>
      <c r="K163" s="292">
        <v>52040</v>
      </c>
      <c r="N163" s="335"/>
    </row>
    <row r="164" spans="2:14" x14ac:dyDescent="0.2">
      <c r="B164" s="19" t="s">
        <v>210</v>
      </c>
      <c r="C164" s="20" t="s">
        <v>211</v>
      </c>
      <c r="D164" s="17">
        <v>500</v>
      </c>
      <c r="E164" s="17">
        <v>0</v>
      </c>
      <c r="F164" s="17">
        <v>90</v>
      </c>
      <c r="G164" s="17">
        <v>90</v>
      </c>
      <c r="H164" s="468"/>
      <c r="I164" s="292">
        <v>11000</v>
      </c>
      <c r="J164" s="292">
        <v>4004</v>
      </c>
      <c r="K164" s="292">
        <v>54010</v>
      </c>
    </row>
    <row r="165" spans="2:14" x14ac:dyDescent="0.2">
      <c r="B165" s="28" t="s">
        <v>212</v>
      </c>
      <c r="C165" s="29" t="s">
        <v>125</v>
      </c>
      <c r="D165" s="9">
        <v>2000</v>
      </c>
      <c r="E165" s="9">
        <v>287.23</v>
      </c>
      <c r="F165" s="9">
        <f>692.47+124.54</f>
        <v>817.01</v>
      </c>
      <c r="G165" s="9">
        <f>1524.48+102.46</f>
        <v>1626.94</v>
      </c>
      <c r="H165" s="468"/>
      <c r="I165" s="292">
        <v>11000</v>
      </c>
      <c r="J165" s="292">
        <v>4004</v>
      </c>
      <c r="K165" s="292">
        <v>56999</v>
      </c>
    </row>
    <row r="166" spans="2:14" x14ac:dyDescent="0.2">
      <c r="B166" s="28" t="s">
        <v>213</v>
      </c>
      <c r="C166" s="29" t="s">
        <v>214</v>
      </c>
      <c r="D166" s="9">
        <v>1000</v>
      </c>
      <c r="E166" s="9">
        <v>0</v>
      </c>
      <c r="F166" s="9">
        <v>27.45</v>
      </c>
      <c r="G166" s="9">
        <v>27.45</v>
      </c>
      <c r="H166" s="468"/>
      <c r="I166" s="292">
        <v>11000</v>
      </c>
      <c r="J166" s="292">
        <v>4004</v>
      </c>
      <c r="K166" s="292">
        <v>56050</v>
      </c>
    </row>
    <row r="167" spans="2:14" x14ac:dyDescent="0.2">
      <c r="B167" s="28" t="s">
        <v>215</v>
      </c>
      <c r="C167" s="29" t="s">
        <v>216</v>
      </c>
      <c r="D167" s="9">
        <v>2500</v>
      </c>
      <c r="E167" s="9">
        <v>0</v>
      </c>
      <c r="F167" s="9">
        <v>210.24</v>
      </c>
      <c r="G167" s="9">
        <f>1054.19+326.42</f>
        <v>1380.6100000000001</v>
      </c>
      <c r="H167" s="468"/>
      <c r="I167" s="292">
        <v>11000</v>
      </c>
      <c r="J167" s="292">
        <v>4004</v>
      </c>
      <c r="K167" s="292">
        <v>56080</v>
      </c>
    </row>
    <row r="168" spans="2:14" x14ac:dyDescent="0.2">
      <c r="B168" s="28" t="s">
        <v>217</v>
      </c>
      <c r="C168" s="29" t="s">
        <v>218</v>
      </c>
      <c r="D168" s="9">
        <v>1500</v>
      </c>
      <c r="E168" s="9">
        <v>518.07000000000005</v>
      </c>
      <c r="F168" s="9">
        <v>518.07000000000005</v>
      </c>
      <c r="G168" s="9">
        <v>909.77</v>
      </c>
      <c r="H168" s="468"/>
      <c r="I168" s="292">
        <v>11000</v>
      </c>
      <c r="J168" s="292">
        <v>4004</v>
      </c>
      <c r="K168" s="292">
        <v>58999</v>
      </c>
    </row>
    <row r="169" spans="2:14" ht="13.5" thickBot="1" x14ac:dyDescent="0.25">
      <c r="B169" s="26" t="s">
        <v>219</v>
      </c>
      <c r="C169" s="27" t="s">
        <v>103</v>
      </c>
      <c r="D169" s="12">
        <v>900</v>
      </c>
      <c r="E169" s="12">
        <v>0</v>
      </c>
      <c r="F169" s="12">
        <v>175</v>
      </c>
      <c r="G169" s="12">
        <v>527.72</v>
      </c>
      <c r="H169" s="468"/>
      <c r="I169" s="292">
        <v>11000</v>
      </c>
      <c r="J169" s="292">
        <v>4004</v>
      </c>
      <c r="K169" s="292">
        <v>57090</v>
      </c>
    </row>
    <row r="170" spans="2:14" ht="13.5" thickBot="1" x14ac:dyDescent="0.25">
      <c r="C170" s="15" t="s">
        <v>67</v>
      </c>
      <c r="D170" s="304">
        <f t="shared" ref="D170:F170" si="10">SUM(D154:D169)</f>
        <v>114317.99000000002</v>
      </c>
      <c r="E170" s="304">
        <f t="shared" si="10"/>
        <v>25149.389999999996</v>
      </c>
      <c r="F170" s="304">
        <f t="shared" si="10"/>
        <v>46795.27</v>
      </c>
      <c r="G170" s="304">
        <f t="shared" ref="G170" si="11">SUM(G154:G169)</f>
        <v>73790.63</v>
      </c>
      <c r="I170" s="289"/>
      <c r="J170" s="289"/>
      <c r="K170" s="289"/>
    </row>
    <row r="171" spans="2:14" ht="14.25" thickTop="1" thickBot="1" x14ac:dyDescent="0.25">
      <c r="I171" s="289"/>
    </row>
    <row r="172" spans="2:14" ht="13.5" thickBot="1" x14ac:dyDescent="0.25">
      <c r="B172" s="4" t="s">
        <v>220</v>
      </c>
      <c r="C172" s="5"/>
      <c r="D172" s="301"/>
      <c r="E172" s="301"/>
      <c r="F172" s="301"/>
      <c r="G172" s="302"/>
      <c r="I172" s="289"/>
      <c r="J172" s="289"/>
      <c r="K172" s="289"/>
    </row>
    <row r="173" spans="2:14" x14ac:dyDescent="0.2">
      <c r="B173" s="28" t="s">
        <v>221</v>
      </c>
      <c r="C173" s="29" t="s">
        <v>78</v>
      </c>
      <c r="D173" s="9">
        <v>108556.34</v>
      </c>
      <c r="E173" s="9">
        <v>32514.35</v>
      </c>
      <c r="F173" s="9">
        <v>58553.67</v>
      </c>
      <c r="G173" s="9">
        <v>74108.649999999994</v>
      </c>
      <c r="I173" s="289">
        <v>11000</v>
      </c>
      <c r="J173" s="289">
        <v>3004</v>
      </c>
      <c r="K173" s="289">
        <v>51020</v>
      </c>
      <c r="N173" s="335"/>
    </row>
    <row r="174" spans="2:14" x14ac:dyDescent="0.2">
      <c r="B174" s="28" t="s">
        <v>222</v>
      </c>
      <c r="C174" s="29" t="s">
        <v>223</v>
      </c>
      <c r="D174" s="9">
        <v>6000</v>
      </c>
      <c r="E174" s="9">
        <v>3425.08</v>
      </c>
      <c r="F174" s="9">
        <v>4212.01</v>
      </c>
      <c r="G174" s="9">
        <v>4300.6000000000004</v>
      </c>
      <c r="I174" s="289">
        <v>11000</v>
      </c>
      <c r="J174" s="289">
        <v>3004</v>
      </c>
      <c r="K174" s="289">
        <v>51060</v>
      </c>
      <c r="N174" s="335"/>
    </row>
    <row r="175" spans="2:14" x14ac:dyDescent="0.2">
      <c r="B175" s="28" t="s">
        <v>224</v>
      </c>
      <c r="C175" s="29" t="s">
        <v>58</v>
      </c>
      <c r="D175" s="9">
        <v>1661.07</v>
      </c>
      <c r="E175" s="9">
        <v>489.08</v>
      </c>
      <c r="F175" s="9">
        <v>844.7</v>
      </c>
      <c r="G175" s="9">
        <v>1066.8800000000001</v>
      </c>
      <c r="I175" s="289">
        <v>11000</v>
      </c>
      <c r="J175" s="289">
        <v>3004</v>
      </c>
      <c r="K175" s="289">
        <v>52011</v>
      </c>
      <c r="N175" s="335"/>
    </row>
    <row r="176" spans="2:14" x14ac:dyDescent="0.2">
      <c r="B176" s="28" t="s">
        <v>225</v>
      </c>
      <c r="C176" s="29" t="s">
        <v>81</v>
      </c>
      <c r="D176" s="9">
        <v>400.95</v>
      </c>
      <c r="E176" s="9">
        <v>187.02</v>
      </c>
      <c r="F176" s="9">
        <v>271.44</v>
      </c>
      <c r="G176" s="9">
        <v>358.78</v>
      </c>
      <c r="I176" s="289">
        <v>11000</v>
      </c>
      <c r="J176" s="289">
        <v>3004</v>
      </c>
      <c r="K176" s="289">
        <v>52090</v>
      </c>
      <c r="N176" s="335"/>
    </row>
    <row r="177" spans="2:14" x14ac:dyDescent="0.2">
      <c r="B177" s="28" t="s">
        <v>226</v>
      </c>
      <c r="C177" s="29" t="s">
        <v>83</v>
      </c>
      <c r="D177" s="9">
        <v>8847.34</v>
      </c>
      <c r="E177" s="9">
        <v>2583.7600000000002</v>
      </c>
      <c r="F177" s="9">
        <v>4577.28</v>
      </c>
      <c r="G177" s="9">
        <v>5635.96</v>
      </c>
      <c r="I177" s="289">
        <v>11000</v>
      </c>
      <c r="J177" s="289">
        <v>3004</v>
      </c>
      <c r="K177" s="289">
        <v>52020</v>
      </c>
      <c r="N177" s="335"/>
    </row>
    <row r="178" spans="2:14" x14ac:dyDescent="0.2">
      <c r="B178" s="28" t="s">
        <v>227</v>
      </c>
      <c r="C178" s="29" t="s">
        <v>85</v>
      </c>
      <c r="D178" s="9">
        <v>27.6</v>
      </c>
      <c r="E178" s="9">
        <v>13.8</v>
      </c>
      <c r="F178" s="9">
        <v>20.7</v>
      </c>
      <c r="G178" s="9">
        <v>23.29</v>
      </c>
      <c r="I178" s="289">
        <v>11000</v>
      </c>
      <c r="J178" s="289">
        <v>3004</v>
      </c>
      <c r="K178" s="289">
        <v>52100</v>
      </c>
      <c r="N178" s="335"/>
    </row>
    <row r="179" spans="2:14" x14ac:dyDescent="0.2">
      <c r="B179" s="28" t="s">
        <v>228</v>
      </c>
      <c r="C179" s="29" t="s">
        <v>87</v>
      </c>
      <c r="D179" s="9">
        <v>23804.16</v>
      </c>
      <c r="E179" s="9">
        <v>5816.92</v>
      </c>
      <c r="F179" s="9">
        <v>10642</v>
      </c>
      <c r="G179" s="9">
        <v>11909.59</v>
      </c>
      <c r="I179" s="289">
        <v>11000</v>
      </c>
      <c r="J179" s="289">
        <v>3004</v>
      </c>
      <c r="K179" s="289">
        <v>52030</v>
      </c>
      <c r="N179" s="335"/>
    </row>
    <row r="180" spans="2:14" x14ac:dyDescent="0.2">
      <c r="B180" s="28" t="s">
        <v>229</v>
      </c>
      <c r="C180" s="29" t="s">
        <v>89</v>
      </c>
      <c r="D180" s="9">
        <v>1490.88</v>
      </c>
      <c r="E180" s="9">
        <v>535.54999999999995</v>
      </c>
      <c r="F180" s="9">
        <v>893.29</v>
      </c>
      <c r="G180" s="9">
        <v>981.39</v>
      </c>
      <c r="I180" s="289">
        <v>11000</v>
      </c>
      <c r="J180" s="289">
        <v>3004</v>
      </c>
      <c r="K180" s="289">
        <v>52050</v>
      </c>
      <c r="N180" s="335"/>
    </row>
    <row r="181" spans="2:14" x14ac:dyDescent="0.2">
      <c r="B181" s="28" t="s">
        <v>208</v>
      </c>
      <c r="C181" s="29" t="s">
        <v>91</v>
      </c>
      <c r="D181" s="9">
        <v>302.20999999999998</v>
      </c>
      <c r="E181" s="9">
        <v>95.33</v>
      </c>
      <c r="F181" s="9">
        <v>167.64</v>
      </c>
      <c r="G181" s="9">
        <v>182.96</v>
      </c>
      <c r="I181" s="289">
        <v>11000</v>
      </c>
      <c r="J181" s="289">
        <v>3004</v>
      </c>
      <c r="K181" s="289">
        <v>52060</v>
      </c>
      <c r="N181" s="335"/>
    </row>
    <row r="182" spans="2:14" ht="13.5" thickBot="1" x14ac:dyDescent="0.25">
      <c r="B182" s="26" t="s">
        <v>230</v>
      </c>
      <c r="C182" s="34" t="s">
        <v>93</v>
      </c>
      <c r="D182" s="9">
        <v>284.7</v>
      </c>
      <c r="E182" s="12">
        <v>92.25</v>
      </c>
      <c r="F182" s="12">
        <v>162.1</v>
      </c>
      <c r="G182" s="12">
        <v>258.08999999999997</v>
      </c>
      <c r="I182" s="289">
        <v>11000</v>
      </c>
      <c r="J182" s="289">
        <v>3004</v>
      </c>
      <c r="K182" s="289">
        <v>52040</v>
      </c>
      <c r="N182" s="335"/>
    </row>
    <row r="183" spans="2:14" x14ac:dyDescent="0.2">
      <c r="B183" s="19" t="s">
        <v>231</v>
      </c>
      <c r="C183" s="420" t="s">
        <v>60</v>
      </c>
      <c r="D183" s="17">
        <v>1800</v>
      </c>
      <c r="E183" s="17">
        <v>372</v>
      </c>
      <c r="F183" s="17">
        <f>1116+200</f>
        <v>1316</v>
      </c>
      <c r="G183" s="17">
        <f>1366-250</f>
        <v>1116</v>
      </c>
      <c r="I183" s="289">
        <v>11000</v>
      </c>
      <c r="J183" s="289">
        <v>3004</v>
      </c>
      <c r="K183" s="289">
        <v>57050</v>
      </c>
    </row>
    <row r="184" spans="2:14" x14ac:dyDescent="0.2">
      <c r="B184" s="7" t="s">
        <v>232</v>
      </c>
      <c r="C184" s="31" t="s">
        <v>62</v>
      </c>
      <c r="D184" s="9">
        <v>1200</v>
      </c>
      <c r="E184" s="9">
        <v>0</v>
      </c>
      <c r="F184" s="9">
        <v>0</v>
      </c>
      <c r="G184" s="9">
        <v>0</v>
      </c>
      <c r="I184" s="289">
        <v>11000</v>
      </c>
      <c r="J184" s="289">
        <v>3004</v>
      </c>
      <c r="K184" s="289">
        <v>53030</v>
      </c>
    </row>
    <row r="185" spans="2:14" x14ac:dyDescent="0.2">
      <c r="B185" s="7" t="s">
        <v>233</v>
      </c>
      <c r="C185" s="31" t="s">
        <v>234</v>
      </c>
      <c r="D185" s="9">
        <v>8000</v>
      </c>
      <c r="E185" s="9">
        <f>2034.49+993.85</f>
        <v>3028.34</v>
      </c>
      <c r="F185" s="9">
        <v>2907.01</v>
      </c>
      <c r="G185" s="9">
        <v>2917.01</v>
      </c>
      <c r="I185" s="289">
        <v>11000</v>
      </c>
      <c r="J185" s="289">
        <v>3004</v>
      </c>
      <c r="K185" s="289">
        <v>54040</v>
      </c>
    </row>
    <row r="186" spans="2:14" x14ac:dyDescent="0.2">
      <c r="B186" s="7" t="s">
        <v>235</v>
      </c>
      <c r="C186" s="31" t="s">
        <v>236</v>
      </c>
      <c r="D186" s="9">
        <v>6250</v>
      </c>
      <c r="E186" s="9">
        <v>301.91000000000003</v>
      </c>
      <c r="F186" s="9">
        <v>3232.69</v>
      </c>
      <c r="G186" s="9">
        <v>3232.69</v>
      </c>
      <c r="I186" s="289">
        <v>11000</v>
      </c>
      <c r="J186" s="289">
        <v>3004</v>
      </c>
      <c r="K186" s="289">
        <v>56999</v>
      </c>
    </row>
    <row r="187" spans="2:14" x14ac:dyDescent="0.2">
      <c r="B187" s="7" t="s">
        <v>237</v>
      </c>
      <c r="C187" s="31" t="s">
        <v>238</v>
      </c>
      <c r="D187" s="9">
        <v>15000</v>
      </c>
      <c r="E187" s="9">
        <v>5205</v>
      </c>
      <c r="F187" s="9">
        <v>5205</v>
      </c>
      <c r="G187" s="9">
        <v>5802.1</v>
      </c>
      <c r="I187" s="289">
        <v>11000</v>
      </c>
      <c r="J187" s="289">
        <v>3004</v>
      </c>
      <c r="K187" s="289">
        <v>55999</v>
      </c>
    </row>
    <row r="188" spans="2:14" x14ac:dyDescent="0.2">
      <c r="B188" s="7" t="s">
        <v>730</v>
      </c>
      <c r="C188" s="31" t="s">
        <v>731</v>
      </c>
      <c r="D188" s="9">
        <v>10000</v>
      </c>
      <c r="E188" s="9">
        <v>0</v>
      </c>
      <c r="F188" s="9">
        <f>7188.96-122.85</f>
        <v>7066.11</v>
      </c>
      <c r="G188" s="9">
        <f>7356.67-122.85</f>
        <v>7233.82</v>
      </c>
      <c r="I188" s="289">
        <v>11000</v>
      </c>
      <c r="J188" s="289">
        <v>3004</v>
      </c>
      <c r="K188" s="289">
        <v>56999</v>
      </c>
    </row>
    <row r="189" spans="2:14" x14ac:dyDescent="0.2">
      <c r="B189" s="7" t="s">
        <v>239</v>
      </c>
      <c r="C189" s="8" t="s">
        <v>191</v>
      </c>
      <c r="D189" s="9">
        <v>2543</v>
      </c>
      <c r="E189" s="9">
        <v>0</v>
      </c>
      <c r="F189" s="9">
        <f>152.06-152.06</f>
        <v>0</v>
      </c>
      <c r="G189" s="9">
        <v>0</v>
      </c>
      <c r="I189" s="289">
        <v>11000</v>
      </c>
      <c r="J189" s="289">
        <v>3004</v>
      </c>
      <c r="K189" s="289">
        <v>56110</v>
      </c>
    </row>
    <row r="190" spans="2:14" ht="13.5" thickBot="1" x14ac:dyDescent="0.25">
      <c r="B190" s="10" t="s">
        <v>240</v>
      </c>
      <c r="C190" s="11" t="s">
        <v>218</v>
      </c>
      <c r="D190" s="12">
        <v>2239</v>
      </c>
      <c r="E190" s="12">
        <v>0</v>
      </c>
      <c r="F190" s="12">
        <v>0</v>
      </c>
      <c r="G190" s="12">
        <v>47.02</v>
      </c>
      <c r="I190" s="289">
        <v>11000</v>
      </c>
      <c r="J190" s="289">
        <v>3004</v>
      </c>
      <c r="K190" s="289">
        <v>58999</v>
      </c>
    </row>
    <row r="191" spans="2:14" ht="13.5" thickBot="1" x14ac:dyDescent="0.25">
      <c r="C191" s="15" t="s">
        <v>67</v>
      </c>
      <c r="D191" s="303">
        <f>+SUM(D173:D190)</f>
        <v>198407.25</v>
      </c>
      <c r="E191" s="303">
        <f>+SUM(E173:E190)</f>
        <v>54660.390000000014</v>
      </c>
      <c r="F191" s="303">
        <f>+SUM(F173:F190)</f>
        <v>100071.64</v>
      </c>
      <c r="G191" s="303">
        <f>+SUM(G173:G190)</f>
        <v>119174.83</v>
      </c>
      <c r="I191" s="289"/>
      <c r="J191" s="289"/>
      <c r="K191" s="289"/>
      <c r="L191" s="36"/>
    </row>
    <row r="192" spans="2:14" ht="14.25" thickTop="1" thickBot="1" x14ac:dyDescent="0.25">
      <c r="I192" s="289"/>
      <c r="L192" s="36"/>
    </row>
    <row r="193" spans="2:14" ht="13.5" thickBot="1" x14ac:dyDescent="0.25">
      <c r="B193" s="4" t="s">
        <v>241</v>
      </c>
      <c r="C193" s="5"/>
      <c r="D193" s="301"/>
      <c r="E193" s="301"/>
      <c r="F193" s="301"/>
      <c r="G193" s="302"/>
      <c r="I193" s="289"/>
      <c r="J193" s="289"/>
      <c r="K193" s="289"/>
      <c r="L193" s="36"/>
    </row>
    <row r="194" spans="2:14" x14ac:dyDescent="0.2">
      <c r="B194" s="28" t="s">
        <v>242</v>
      </c>
      <c r="C194" s="29" t="s">
        <v>78</v>
      </c>
      <c r="D194" s="9">
        <f>188115.2-16928</f>
        <v>171187.20000000001</v>
      </c>
      <c r="E194" s="9">
        <v>39466.449999999997</v>
      </c>
      <c r="F194" s="9">
        <v>71075.12</v>
      </c>
      <c r="G194" s="9">
        <v>105705.48</v>
      </c>
      <c r="I194" s="289">
        <v>52300</v>
      </c>
      <c r="J194" s="289">
        <v>9005</v>
      </c>
      <c r="K194" s="289">
        <v>51020</v>
      </c>
      <c r="L194" s="18"/>
      <c r="M194" s="335"/>
    </row>
    <row r="195" spans="2:14" x14ac:dyDescent="0.2">
      <c r="B195" s="28" t="s">
        <v>243</v>
      </c>
      <c r="C195" s="29" t="s">
        <v>58</v>
      </c>
      <c r="D195" s="9">
        <f>-246+2727.67</f>
        <v>2481.67</v>
      </c>
      <c r="E195" s="9">
        <v>557.58000000000004</v>
      </c>
      <c r="F195" s="9">
        <v>1003.77</v>
      </c>
      <c r="G195" s="9">
        <v>1494.13</v>
      </c>
      <c r="I195" s="289">
        <v>52300</v>
      </c>
      <c r="J195" s="289">
        <v>9005</v>
      </c>
      <c r="K195" s="289">
        <v>52011</v>
      </c>
      <c r="L195" s="18"/>
    </row>
    <row r="196" spans="2:14" x14ac:dyDescent="0.2">
      <c r="B196" s="28" t="s">
        <v>244</v>
      </c>
      <c r="C196" s="29" t="s">
        <v>81</v>
      </c>
      <c r="D196" s="9">
        <f>-60+658.4</f>
        <v>598.4</v>
      </c>
      <c r="E196" s="9">
        <v>185.38</v>
      </c>
      <c r="F196" s="9">
        <v>311.35000000000002</v>
      </c>
      <c r="G196" s="9">
        <v>504.13</v>
      </c>
      <c r="I196" s="289">
        <v>52300</v>
      </c>
      <c r="J196" s="289">
        <v>9005</v>
      </c>
      <c r="K196" s="289">
        <v>52090</v>
      </c>
      <c r="L196" s="18"/>
    </row>
    <row r="197" spans="2:14" x14ac:dyDescent="0.2">
      <c r="B197" s="28" t="s">
        <v>245</v>
      </c>
      <c r="C197" s="29" t="s">
        <v>83</v>
      </c>
      <c r="D197" s="9">
        <f>-1380+15331.39</f>
        <v>13951.39</v>
      </c>
      <c r="E197" s="9">
        <v>3192.96</v>
      </c>
      <c r="F197" s="9">
        <v>5765.75</v>
      </c>
      <c r="G197" s="9">
        <v>8575.85</v>
      </c>
      <c r="I197" s="289">
        <v>52300</v>
      </c>
      <c r="J197" s="289">
        <v>9005</v>
      </c>
      <c r="K197" s="289">
        <v>52020</v>
      </c>
      <c r="L197" s="18"/>
    </row>
    <row r="198" spans="2:14" x14ac:dyDescent="0.2">
      <c r="B198" s="28" t="s">
        <v>246</v>
      </c>
      <c r="C198" s="29" t="s">
        <v>85</v>
      </c>
      <c r="D198" s="9">
        <f>-5+46</f>
        <v>41</v>
      </c>
      <c r="E198" s="9">
        <v>16.100000000000001</v>
      </c>
      <c r="F198" s="9">
        <v>25.3</v>
      </c>
      <c r="G198" s="9">
        <v>33.11</v>
      </c>
      <c r="I198" s="289">
        <v>52300</v>
      </c>
      <c r="J198" s="289">
        <v>9005</v>
      </c>
      <c r="K198" s="289">
        <v>52100</v>
      </c>
      <c r="L198" s="18"/>
    </row>
    <row r="199" spans="2:14" x14ac:dyDescent="0.2">
      <c r="B199" s="28" t="s">
        <v>247</v>
      </c>
      <c r="C199" s="29" t="s">
        <v>87</v>
      </c>
      <c r="D199" s="9">
        <f>-3541+19795.51</f>
        <v>16254.509999999998</v>
      </c>
      <c r="E199" s="9">
        <v>3093.77</v>
      </c>
      <c r="F199" s="9">
        <v>5795.51</v>
      </c>
      <c r="G199" s="9">
        <v>7713.19</v>
      </c>
      <c r="I199" s="289">
        <v>52300</v>
      </c>
      <c r="J199" s="289">
        <v>9005</v>
      </c>
      <c r="K199" s="289">
        <v>52030</v>
      </c>
      <c r="L199" s="18"/>
    </row>
    <row r="200" spans="2:14" x14ac:dyDescent="0.2">
      <c r="B200" s="28" t="s">
        <v>248</v>
      </c>
      <c r="C200" s="29" t="s">
        <v>89</v>
      </c>
      <c r="D200" s="9">
        <f>-200+1586.54</f>
        <v>1386.54</v>
      </c>
      <c r="E200" s="9">
        <v>294.20999999999998</v>
      </c>
      <c r="F200" s="9">
        <v>546.39</v>
      </c>
      <c r="G200" s="9">
        <v>729.49</v>
      </c>
      <c r="I200" s="289">
        <v>52300</v>
      </c>
      <c r="J200" s="289">
        <v>9005</v>
      </c>
      <c r="K200" s="289">
        <v>52050</v>
      </c>
      <c r="L200" s="18"/>
    </row>
    <row r="201" spans="2:14" x14ac:dyDescent="0.2">
      <c r="B201" s="28" t="s">
        <v>249</v>
      </c>
      <c r="C201" s="29" t="s">
        <v>91</v>
      </c>
      <c r="D201" s="9">
        <f>-52+366.88</f>
        <v>314.88</v>
      </c>
      <c r="E201" s="9">
        <v>71.37</v>
      </c>
      <c r="F201" s="9">
        <v>132.55000000000001</v>
      </c>
      <c r="G201" s="9">
        <v>176.58</v>
      </c>
      <c r="I201" s="289">
        <v>52300</v>
      </c>
      <c r="J201" s="289">
        <v>9005</v>
      </c>
      <c r="K201" s="289">
        <v>52060</v>
      </c>
      <c r="L201" s="18"/>
    </row>
    <row r="202" spans="2:14" ht="13.5" thickBot="1" x14ac:dyDescent="0.25">
      <c r="B202" s="26" t="s">
        <v>250</v>
      </c>
      <c r="C202" s="27" t="s">
        <v>93</v>
      </c>
      <c r="D202" s="9">
        <f>-30+474.5</f>
        <v>444.5</v>
      </c>
      <c r="E202" s="12">
        <v>102.2</v>
      </c>
      <c r="F202" s="12">
        <v>189.8</v>
      </c>
      <c r="G202" s="12">
        <v>273.75</v>
      </c>
      <c r="I202" s="289">
        <v>52300</v>
      </c>
      <c r="J202" s="289">
        <v>9005</v>
      </c>
      <c r="K202" s="289">
        <v>52040</v>
      </c>
      <c r="L202" s="18"/>
    </row>
    <row r="203" spans="2:14" x14ac:dyDescent="0.2">
      <c r="B203" s="28" t="s">
        <v>250</v>
      </c>
      <c r="C203" s="29" t="s">
        <v>97</v>
      </c>
      <c r="D203" s="17">
        <v>700</v>
      </c>
      <c r="E203" s="17">
        <v>0</v>
      </c>
      <c r="F203" s="17">
        <v>0</v>
      </c>
      <c r="G203" s="17">
        <v>0</v>
      </c>
      <c r="I203" s="289">
        <v>52300</v>
      </c>
      <c r="J203" s="289">
        <v>9005</v>
      </c>
      <c r="K203" s="289">
        <v>56020</v>
      </c>
      <c r="L203" s="36"/>
    </row>
    <row r="204" spans="2:14" ht="13.5" thickBot="1" x14ac:dyDescent="0.25">
      <c r="B204" s="26" t="s">
        <v>251</v>
      </c>
      <c r="C204" s="27" t="s">
        <v>121</v>
      </c>
      <c r="D204" s="12">
        <v>1500</v>
      </c>
      <c r="E204" s="12">
        <v>300</v>
      </c>
      <c r="F204" s="12">
        <v>600</v>
      </c>
      <c r="G204" s="12">
        <v>600</v>
      </c>
      <c r="I204" s="289">
        <v>52300</v>
      </c>
      <c r="J204" s="289">
        <v>9005</v>
      </c>
      <c r="K204" s="289">
        <v>55030</v>
      </c>
      <c r="L204" s="36"/>
    </row>
    <row r="205" spans="2:14" ht="13.5" thickBot="1" x14ac:dyDescent="0.25">
      <c r="C205" s="15" t="s">
        <v>67</v>
      </c>
      <c r="D205" s="303">
        <f t="shared" ref="D205:F205" si="12">SUM(D194:D204)</f>
        <v>208860.09000000005</v>
      </c>
      <c r="E205" s="303">
        <f t="shared" si="12"/>
        <v>47280.01999999999</v>
      </c>
      <c r="F205" s="303">
        <f t="shared" si="12"/>
        <v>85445.540000000008</v>
      </c>
      <c r="G205" s="303">
        <f t="shared" ref="G205" si="13">SUM(G194:G204)</f>
        <v>125805.71000000002</v>
      </c>
      <c r="I205" s="289"/>
      <c r="J205" s="289"/>
      <c r="K205" s="289"/>
      <c r="L205" s="36"/>
    </row>
    <row r="206" spans="2:14" ht="14.25" thickTop="1" thickBot="1" x14ac:dyDescent="0.25">
      <c r="I206" s="289"/>
    </row>
    <row r="207" spans="2:14" ht="13.5" thickBot="1" x14ac:dyDescent="0.25">
      <c r="B207" s="4" t="s">
        <v>252</v>
      </c>
      <c r="C207" s="5"/>
      <c r="D207" s="301"/>
      <c r="E207" s="301"/>
      <c r="F207" s="301"/>
      <c r="G207" s="302"/>
      <c r="I207" s="289"/>
      <c r="J207" s="289"/>
      <c r="K207" s="289"/>
    </row>
    <row r="208" spans="2:14" x14ac:dyDescent="0.2">
      <c r="B208" s="28" t="s">
        <v>253</v>
      </c>
      <c r="C208" s="29" t="s">
        <v>78</v>
      </c>
      <c r="D208" s="9">
        <v>174720</v>
      </c>
      <c r="E208" s="9">
        <v>35669.58</v>
      </c>
      <c r="F208" s="9">
        <v>89174.63</v>
      </c>
      <c r="G208" s="9">
        <v>129676.46</v>
      </c>
      <c r="I208" s="289">
        <v>11000</v>
      </c>
      <c r="J208" s="289">
        <v>2004</v>
      </c>
      <c r="K208" s="289">
        <v>51020</v>
      </c>
      <c r="L208" s="335"/>
      <c r="M208" s="335"/>
      <c r="N208" s="335"/>
    </row>
    <row r="209" spans="2:16" x14ac:dyDescent="0.2">
      <c r="B209" s="28" t="s">
        <v>254</v>
      </c>
      <c r="C209" s="29" t="s">
        <v>58</v>
      </c>
      <c r="D209" s="9">
        <v>2533.44</v>
      </c>
      <c r="E209" s="9">
        <v>512.94000000000005</v>
      </c>
      <c r="F209" s="9">
        <v>1280.8599999999999</v>
      </c>
      <c r="G209" s="9">
        <v>1863.5</v>
      </c>
      <c r="I209" s="289">
        <v>11000</v>
      </c>
      <c r="J209" s="289">
        <v>2004</v>
      </c>
      <c r="K209" s="289">
        <v>52011</v>
      </c>
      <c r="N209" s="335"/>
    </row>
    <row r="210" spans="2:16" x14ac:dyDescent="0.2">
      <c r="B210" s="28" t="s">
        <v>255</v>
      </c>
      <c r="C210" s="29" t="s">
        <v>81</v>
      </c>
      <c r="D210" s="9">
        <v>611.52</v>
      </c>
      <c r="E210" s="9">
        <v>110.02</v>
      </c>
      <c r="F210" s="9">
        <v>229.72</v>
      </c>
      <c r="G210" s="9">
        <v>458.76</v>
      </c>
      <c r="I210" s="289">
        <v>11000</v>
      </c>
      <c r="J210" s="289">
        <v>2004</v>
      </c>
      <c r="K210" s="289">
        <v>52090</v>
      </c>
      <c r="N210" s="335"/>
    </row>
    <row r="211" spans="2:16" x14ac:dyDescent="0.2">
      <c r="B211" s="28" t="s">
        <v>256</v>
      </c>
      <c r="C211" s="29" t="s">
        <v>83</v>
      </c>
      <c r="D211" s="9">
        <v>14239.68</v>
      </c>
      <c r="E211" s="9">
        <v>2844.83</v>
      </c>
      <c r="F211" s="9">
        <v>7159.38</v>
      </c>
      <c r="G211" s="9">
        <v>10442.81</v>
      </c>
      <c r="I211" s="289">
        <v>11000</v>
      </c>
      <c r="J211" s="289">
        <v>2004</v>
      </c>
      <c r="K211" s="289">
        <v>52020</v>
      </c>
      <c r="N211" s="335"/>
    </row>
    <row r="212" spans="2:16" x14ac:dyDescent="0.2">
      <c r="B212" s="28" t="s">
        <v>257</v>
      </c>
      <c r="C212" s="29" t="s">
        <v>85</v>
      </c>
      <c r="D212" s="9">
        <v>36.799999999999997</v>
      </c>
      <c r="E212" s="9">
        <v>11.5</v>
      </c>
      <c r="F212" s="9">
        <v>25.3</v>
      </c>
      <c r="G212" s="9">
        <v>34.5</v>
      </c>
      <c r="I212" s="289">
        <v>11000</v>
      </c>
      <c r="J212" s="289">
        <v>2004</v>
      </c>
      <c r="K212" s="289">
        <v>52100</v>
      </c>
      <c r="N212" s="335"/>
      <c r="P212" s="335"/>
    </row>
    <row r="213" spans="2:16" x14ac:dyDescent="0.2">
      <c r="B213" s="28" t="s">
        <v>258</v>
      </c>
      <c r="C213" s="29" t="s">
        <v>87</v>
      </c>
      <c r="D213" s="9">
        <v>8289.43</v>
      </c>
      <c r="E213" s="9">
        <v>0</v>
      </c>
      <c r="F213" s="9">
        <v>0</v>
      </c>
      <c r="G213" s="9">
        <v>0</v>
      </c>
      <c r="I213" s="289">
        <v>11000</v>
      </c>
      <c r="J213" s="289">
        <v>2004</v>
      </c>
      <c r="K213" s="289">
        <v>52030</v>
      </c>
      <c r="N213" s="335"/>
      <c r="P213" s="335"/>
    </row>
    <row r="214" spans="2:16" x14ac:dyDescent="0.2">
      <c r="B214" s="28" t="s">
        <v>259</v>
      </c>
      <c r="C214" s="29" t="s">
        <v>89</v>
      </c>
      <c r="D214" s="9">
        <v>2471.66</v>
      </c>
      <c r="E214" s="9">
        <v>222.36</v>
      </c>
      <c r="F214" s="9">
        <v>1025.77</v>
      </c>
      <c r="G214" s="9">
        <v>1420.29</v>
      </c>
      <c r="I214" s="289">
        <v>11000</v>
      </c>
      <c r="J214" s="289">
        <v>2004</v>
      </c>
      <c r="K214" s="289">
        <v>52050</v>
      </c>
      <c r="N214" s="335"/>
      <c r="P214" s="335"/>
    </row>
    <row r="215" spans="2:16" x14ac:dyDescent="0.2">
      <c r="B215" s="28" t="s">
        <v>260</v>
      </c>
      <c r="C215" s="36" t="s">
        <v>91</v>
      </c>
      <c r="D215" s="9">
        <v>346.53</v>
      </c>
      <c r="E215" s="9">
        <v>31.14</v>
      </c>
      <c r="F215" s="9">
        <v>177.01</v>
      </c>
      <c r="G215" s="9">
        <v>223.81</v>
      </c>
      <c r="I215" s="289">
        <v>11000</v>
      </c>
      <c r="J215" s="289">
        <v>2004</v>
      </c>
      <c r="K215" s="289">
        <v>52060</v>
      </c>
      <c r="N215" s="335"/>
      <c r="P215" s="335"/>
    </row>
    <row r="216" spans="2:16" ht="13.5" thickBot="1" x14ac:dyDescent="0.25">
      <c r="B216" s="26" t="s">
        <v>261</v>
      </c>
      <c r="C216" s="34" t="s">
        <v>93</v>
      </c>
      <c r="D216" s="9">
        <v>379.6</v>
      </c>
      <c r="E216" s="12">
        <v>54.75</v>
      </c>
      <c r="F216" s="12">
        <v>167.9</v>
      </c>
      <c r="G216" s="12">
        <v>251.85</v>
      </c>
      <c r="I216" s="289">
        <v>11000</v>
      </c>
      <c r="J216" s="289">
        <v>2004</v>
      </c>
      <c r="K216" s="289">
        <v>52040</v>
      </c>
      <c r="N216" s="335"/>
      <c r="P216" s="335"/>
    </row>
    <row r="217" spans="2:16" x14ac:dyDescent="0.2">
      <c r="B217" s="24" t="s">
        <v>262</v>
      </c>
      <c r="C217" s="35" t="s">
        <v>263</v>
      </c>
      <c r="D217" s="17">
        <v>55000</v>
      </c>
      <c r="E217" s="17">
        <v>38943</v>
      </c>
      <c r="F217" s="17">
        <v>39383</v>
      </c>
      <c r="G217" s="17">
        <v>41896.39</v>
      </c>
      <c r="I217" s="289">
        <v>11000</v>
      </c>
      <c r="J217" s="289">
        <v>2004</v>
      </c>
      <c r="K217" s="289">
        <v>57070</v>
      </c>
      <c r="P217" s="335"/>
    </row>
    <row r="218" spans="2:16" x14ac:dyDescent="0.2">
      <c r="B218" s="28" t="s">
        <v>264</v>
      </c>
      <c r="C218" s="36" t="s">
        <v>265</v>
      </c>
      <c r="D218" s="9">
        <v>62000</v>
      </c>
      <c r="E218" s="9">
        <v>15192</v>
      </c>
      <c r="F218" s="9">
        <v>15192</v>
      </c>
      <c r="G218" s="9">
        <v>15192</v>
      </c>
      <c r="I218" s="289">
        <v>11000</v>
      </c>
      <c r="J218" s="289">
        <v>2004</v>
      </c>
      <c r="K218" s="289">
        <v>57070</v>
      </c>
      <c r="P218" s="335"/>
    </row>
    <row r="219" spans="2:16" x14ac:dyDescent="0.2">
      <c r="B219" s="28" t="s">
        <v>266</v>
      </c>
      <c r="C219" s="36" t="s">
        <v>267</v>
      </c>
      <c r="D219" s="9">
        <v>16000</v>
      </c>
      <c r="E219" s="9">
        <v>15880</v>
      </c>
      <c r="F219" s="9">
        <v>15880</v>
      </c>
      <c r="G219" s="9">
        <v>15880</v>
      </c>
      <c r="I219" s="289">
        <v>11000</v>
      </c>
      <c r="J219" s="289">
        <v>2004</v>
      </c>
      <c r="K219" s="289">
        <v>57070</v>
      </c>
      <c r="P219" s="335"/>
    </row>
    <row r="220" spans="2:16" x14ac:dyDescent="0.2">
      <c r="B220" s="28" t="s">
        <v>268</v>
      </c>
      <c r="C220" s="36" t="s">
        <v>60</v>
      </c>
      <c r="D220" s="9">
        <v>3500</v>
      </c>
      <c r="E220" s="9">
        <v>125</v>
      </c>
      <c r="F220" s="9">
        <f>354+255</f>
        <v>609</v>
      </c>
      <c r="G220" s="9">
        <v>2856</v>
      </c>
      <c r="I220" s="289">
        <v>11000</v>
      </c>
      <c r="J220" s="289">
        <v>2004</v>
      </c>
      <c r="K220" s="289">
        <v>57050</v>
      </c>
      <c r="P220" s="335"/>
    </row>
    <row r="221" spans="2:16" x14ac:dyDescent="0.2">
      <c r="B221" s="28" t="s">
        <v>269</v>
      </c>
      <c r="C221" s="36" t="s">
        <v>62</v>
      </c>
      <c r="D221" s="9">
        <v>2690</v>
      </c>
      <c r="E221" s="9">
        <v>0</v>
      </c>
      <c r="F221" s="9">
        <v>1161.25</v>
      </c>
      <c r="G221" s="9">
        <v>1644.37</v>
      </c>
      <c r="I221" s="289">
        <v>11000</v>
      </c>
      <c r="J221" s="289">
        <v>2004</v>
      </c>
      <c r="K221" s="289">
        <v>53999</v>
      </c>
      <c r="P221" s="335"/>
    </row>
    <row r="222" spans="2:16" x14ac:dyDescent="0.2">
      <c r="B222" s="28" t="s">
        <v>270</v>
      </c>
      <c r="C222" s="36" t="s">
        <v>271</v>
      </c>
      <c r="D222" s="9">
        <v>28000</v>
      </c>
      <c r="E222" s="9">
        <v>0</v>
      </c>
      <c r="F222" s="9">
        <v>0</v>
      </c>
      <c r="G222" s="9">
        <v>27503.43</v>
      </c>
      <c r="I222" s="289">
        <v>11000</v>
      </c>
      <c r="J222" s="289">
        <v>2004</v>
      </c>
      <c r="K222" s="289">
        <v>55010</v>
      </c>
      <c r="P222" s="335"/>
    </row>
    <row r="223" spans="2:16" x14ac:dyDescent="0.2">
      <c r="B223" s="28" t="s">
        <v>272</v>
      </c>
      <c r="C223" s="36" t="s">
        <v>125</v>
      </c>
      <c r="D223" s="9">
        <v>5000</v>
      </c>
      <c r="E223" s="9">
        <v>131.28</v>
      </c>
      <c r="F223" s="9">
        <f>1451.88-13.53</f>
        <v>1438.3500000000001</v>
      </c>
      <c r="G223" s="9">
        <f>2849.88-13.53</f>
        <v>2836.35</v>
      </c>
      <c r="I223" s="289">
        <v>11000</v>
      </c>
      <c r="J223" s="289">
        <v>2004</v>
      </c>
      <c r="K223" s="289">
        <v>56020</v>
      </c>
    </row>
    <row r="224" spans="2:16" x14ac:dyDescent="0.2">
      <c r="B224" s="28" t="s">
        <v>273</v>
      </c>
      <c r="C224" s="36" t="s">
        <v>274</v>
      </c>
      <c r="D224" s="9">
        <v>5000</v>
      </c>
      <c r="E224" s="9">
        <v>1626</v>
      </c>
      <c r="F224" s="9">
        <v>2674.74</v>
      </c>
      <c r="G224" s="9">
        <v>3072.19</v>
      </c>
      <c r="I224" s="289">
        <v>11000</v>
      </c>
      <c r="J224" s="289">
        <v>2004</v>
      </c>
      <c r="K224" s="289">
        <v>57080</v>
      </c>
    </row>
    <row r="225" spans="2:14" ht="13.5" thickBot="1" x14ac:dyDescent="0.25">
      <c r="B225" s="26" t="s">
        <v>275</v>
      </c>
      <c r="C225" s="34" t="s">
        <v>276</v>
      </c>
      <c r="D225" s="12">
        <v>500</v>
      </c>
      <c r="E225" s="12">
        <v>498.2</v>
      </c>
      <c r="F225" s="12">
        <v>308.74</v>
      </c>
      <c r="G225" s="12">
        <v>469.61</v>
      </c>
      <c r="I225" s="289">
        <v>11000</v>
      </c>
      <c r="J225" s="289">
        <v>2004</v>
      </c>
      <c r="K225" s="289">
        <v>59050</v>
      </c>
    </row>
    <row r="226" spans="2:14" ht="13.5" thickBot="1" x14ac:dyDescent="0.25">
      <c r="C226" s="15" t="s">
        <v>67</v>
      </c>
      <c r="D226" s="303">
        <f>SUM(D208:D225)</f>
        <v>381318.66</v>
      </c>
      <c r="E226" s="303">
        <f>SUM(E208:E225)</f>
        <v>111852.59999999999</v>
      </c>
      <c r="F226" s="303">
        <f>SUM(F208:F225)</f>
        <v>175887.65</v>
      </c>
      <c r="G226" s="303">
        <f>SUM(G208:G225)</f>
        <v>255722.32000000004</v>
      </c>
      <c r="I226" s="289"/>
      <c r="J226" s="289"/>
      <c r="K226" s="289"/>
    </row>
    <row r="227" spans="2:14" ht="14.25" thickTop="1" thickBot="1" x14ac:dyDescent="0.25">
      <c r="I227" s="289"/>
    </row>
    <row r="228" spans="2:14" ht="13.5" thickBot="1" x14ac:dyDescent="0.25">
      <c r="B228" s="4" t="s">
        <v>277</v>
      </c>
      <c r="C228" s="5"/>
      <c r="D228" s="301"/>
      <c r="E228" s="301"/>
      <c r="F228" s="301"/>
      <c r="G228" s="302"/>
      <c r="I228" s="289"/>
      <c r="J228" s="289"/>
      <c r="K228" s="289"/>
    </row>
    <row r="229" spans="2:14" x14ac:dyDescent="0.2">
      <c r="B229" s="28" t="s">
        <v>278</v>
      </c>
      <c r="C229" s="29" t="s">
        <v>78</v>
      </c>
      <c r="D229" s="9">
        <v>32240</v>
      </c>
      <c r="E229" s="9">
        <v>0</v>
      </c>
      <c r="F229" s="9">
        <v>0</v>
      </c>
      <c r="G229" s="9">
        <v>2988.87</v>
      </c>
      <c r="I229" s="289">
        <v>11000</v>
      </c>
      <c r="J229" s="289">
        <v>2011</v>
      </c>
      <c r="K229" s="289">
        <v>51020</v>
      </c>
      <c r="N229" s="335"/>
    </row>
    <row r="230" spans="2:14" x14ac:dyDescent="0.2">
      <c r="B230" s="7" t="s">
        <v>279</v>
      </c>
      <c r="C230" s="8" t="s">
        <v>109</v>
      </c>
      <c r="D230" s="9">
        <v>0</v>
      </c>
      <c r="E230" s="9">
        <v>0</v>
      </c>
      <c r="F230" s="9">
        <v>0</v>
      </c>
      <c r="G230" s="9">
        <v>0</v>
      </c>
      <c r="I230" s="289">
        <v>11000</v>
      </c>
      <c r="J230" s="289">
        <v>2011</v>
      </c>
      <c r="K230" s="289">
        <v>51040</v>
      </c>
      <c r="N230" s="335"/>
    </row>
    <row r="231" spans="2:14" x14ac:dyDescent="0.2">
      <c r="B231" s="28" t="s">
        <v>280</v>
      </c>
      <c r="C231" s="29" t="s">
        <v>58</v>
      </c>
      <c r="D231" s="9">
        <v>467.48</v>
      </c>
      <c r="E231" s="9">
        <v>0</v>
      </c>
      <c r="F231" s="9">
        <v>0</v>
      </c>
      <c r="G231" s="9">
        <v>43.2</v>
      </c>
      <c r="I231" s="289">
        <v>11000</v>
      </c>
      <c r="J231" s="289">
        <v>2011</v>
      </c>
      <c r="K231" s="289">
        <v>52011</v>
      </c>
      <c r="N231" s="335"/>
    </row>
    <row r="232" spans="2:14" x14ac:dyDescent="0.2">
      <c r="B232" s="28" t="s">
        <v>281</v>
      </c>
      <c r="C232" s="29" t="s">
        <v>81</v>
      </c>
      <c r="D232" s="9">
        <v>112.84</v>
      </c>
      <c r="E232" s="9">
        <v>0</v>
      </c>
      <c r="F232" s="9">
        <v>0</v>
      </c>
      <c r="G232" s="9">
        <v>16.989999999999998</v>
      </c>
      <c r="I232" s="289">
        <v>11000</v>
      </c>
      <c r="J232" s="289">
        <v>2011</v>
      </c>
      <c r="K232" s="289">
        <v>52090</v>
      </c>
      <c r="N232" s="335"/>
    </row>
    <row r="233" spans="2:14" x14ac:dyDescent="0.2">
      <c r="B233" s="28" t="s">
        <v>282</v>
      </c>
      <c r="C233" s="29" t="s">
        <v>83</v>
      </c>
      <c r="D233" s="9">
        <v>2627.56</v>
      </c>
      <c r="E233" s="9">
        <v>0</v>
      </c>
      <c r="F233" s="9">
        <v>0</v>
      </c>
      <c r="G233" s="9">
        <v>242.35</v>
      </c>
      <c r="I233" s="289">
        <v>11000</v>
      </c>
      <c r="J233" s="289">
        <v>2011</v>
      </c>
      <c r="K233" s="289">
        <v>52020</v>
      </c>
      <c r="N233" s="335"/>
    </row>
    <row r="234" spans="2:14" x14ac:dyDescent="0.2">
      <c r="B234" s="28" t="s">
        <v>283</v>
      </c>
      <c r="C234" s="29" t="s">
        <v>85</v>
      </c>
      <c r="D234" s="9">
        <v>9.1999999999999993</v>
      </c>
      <c r="E234" s="9">
        <v>0</v>
      </c>
      <c r="F234" s="9">
        <v>0</v>
      </c>
      <c r="G234" s="9">
        <v>0</v>
      </c>
      <c r="I234" s="289">
        <v>11000</v>
      </c>
      <c r="J234" s="289">
        <v>2011</v>
      </c>
      <c r="K234" s="289">
        <v>52100</v>
      </c>
      <c r="N234" s="335"/>
    </row>
    <row r="235" spans="2:14" x14ac:dyDescent="0.2">
      <c r="B235" s="28" t="s">
        <v>284</v>
      </c>
      <c r="C235" s="29" t="s">
        <v>87</v>
      </c>
      <c r="D235" s="9">
        <v>8407.3700000000008</v>
      </c>
      <c r="E235" s="9">
        <v>0</v>
      </c>
      <c r="F235" s="9">
        <v>0</v>
      </c>
      <c r="G235" s="9">
        <v>0</v>
      </c>
      <c r="I235" s="289">
        <v>11000</v>
      </c>
      <c r="J235" s="289">
        <v>2011</v>
      </c>
      <c r="K235" s="289">
        <v>52030</v>
      </c>
      <c r="N235" s="335"/>
    </row>
    <row r="236" spans="2:14" x14ac:dyDescent="0.2">
      <c r="B236" s="28" t="s">
        <v>285</v>
      </c>
      <c r="C236" s="29" t="s">
        <v>89</v>
      </c>
      <c r="D236" s="9">
        <v>359.52</v>
      </c>
      <c r="E236" s="9">
        <v>0</v>
      </c>
      <c r="F236" s="9">
        <v>0</v>
      </c>
      <c r="G236" s="9">
        <v>37.46</v>
      </c>
      <c r="I236" s="289">
        <v>11000</v>
      </c>
      <c r="J236" s="289">
        <v>2011</v>
      </c>
      <c r="K236" s="289">
        <v>52050</v>
      </c>
      <c r="N236" s="335"/>
    </row>
    <row r="237" spans="2:14" x14ac:dyDescent="0.2">
      <c r="B237" s="28" t="s">
        <v>286</v>
      </c>
      <c r="C237" s="29" t="s">
        <v>91</v>
      </c>
      <c r="D237" s="9">
        <v>77.569999999999993</v>
      </c>
      <c r="E237" s="9">
        <v>0</v>
      </c>
      <c r="F237" s="9">
        <v>0</v>
      </c>
      <c r="G237" s="9">
        <v>8.08</v>
      </c>
      <c r="I237" s="289">
        <v>11000</v>
      </c>
      <c r="J237" s="289">
        <v>2011</v>
      </c>
      <c r="K237" s="289">
        <v>52060</v>
      </c>
      <c r="N237" s="335"/>
    </row>
    <row r="238" spans="2:14" ht="13.5" thickBot="1" x14ac:dyDescent="0.25">
      <c r="B238" s="26" t="s">
        <v>287</v>
      </c>
      <c r="C238" s="27" t="s">
        <v>93</v>
      </c>
      <c r="D238" s="9">
        <v>162.5</v>
      </c>
      <c r="E238" s="12">
        <v>0</v>
      </c>
      <c r="F238" s="12">
        <v>0</v>
      </c>
      <c r="G238" s="12">
        <v>13.55</v>
      </c>
      <c r="I238" s="289">
        <v>11000</v>
      </c>
      <c r="J238" s="289">
        <v>2011</v>
      </c>
      <c r="K238" s="289">
        <v>52040</v>
      </c>
      <c r="N238" s="335"/>
    </row>
    <row r="239" spans="2:14" x14ac:dyDescent="0.2">
      <c r="B239" s="28" t="s">
        <v>288</v>
      </c>
      <c r="C239" s="29" t="s">
        <v>289</v>
      </c>
      <c r="D239" s="17">
        <v>1000</v>
      </c>
      <c r="E239" s="17">
        <v>0</v>
      </c>
      <c r="F239" s="17">
        <v>0</v>
      </c>
      <c r="G239" s="17">
        <v>0</v>
      </c>
      <c r="I239" s="289">
        <v>11000</v>
      </c>
      <c r="J239" s="289">
        <v>2011</v>
      </c>
      <c r="K239" s="289">
        <v>57050</v>
      </c>
    </row>
    <row r="240" spans="2:14" x14ac:dyDescent="0.2">
      <c r="B240" s="28" t="s">
        <v>290</v>
      </c>
      <c r="C240" s="36" t="s">
        <v>62</v>
      </c>
      <c r="D240" s="9">
        <v>1000</v>
      </c>
      <c r="E240" s="9">
        <v>0</v>
      </c>
      <c r="F240" s="9">
        <v>0</v>
      </c>
      <c r="G240" s="9">
        <v>0</v>
      </c>
      <c r="I240" s="289">
        <v>11000</v>
      </c>
      <c r="J240" s="289">
        <v>2011</v>
      </c>
      <c r="K240" s="289">
        <v>53999</v>
      </c>
    </row>
    <row r="241" spans="2:14" x14ac:dyDescent="0.2">
      <c r="B241" s="28" t="s">
        <v>291</v>
      </c>
      <c r="C241" s="36" t="s">
        <v>292</v>
      </c>
      <c r="D241" s="9">
        <v>150000</v>
      </c>
      <c r="E241" s="9">
        <v>9382.9</v>
      </c>
      <c r="F241" s="9">
        <f>53266.71+25048.25</f>
        <v>78314.959999999992</v>
      </c>
      <c r="G241" s="9">
        <f>95843.89+25048.25</f>
        <v>120892.14</v>
      </c>
      <c r="I241" s="289">
        <v>11000</v>
      </c>
      <c r="J241" s="289">
        <v>2011</v>
      </c>
      <c r="K241" s="289">
        <v>55999</v>
      </c>
    </row>
    <row r="242" spans="2:14" x14ac:dyDescent="0.2">
      <c r="B242" s="28" t="s">
        <v>293</v>
      </c>
      <c r="C242" s="36" t="s">
        <v>125</v>
      </c>
      <c r="D242" s="9">
        <v>7700</v>
      </c>
      <c r="E242" s="9">
        <f>1074.08+1370.34</f>
        <v>2444.42</v>
      </c>
      <c r="F242" s="9">
        <f>3350.19+302.94</f>
        <v>3653.13</v>
      </c>
      <c r="G242" s="9">
        <f>5222.85+28.41</f>
        <v>5251.26</v>
      </c>
      <c r="I242" s="289">
        <v>11000</v>
      </c>
      <c r="J242" s="289">
        <v>2011</v>
      </c>
      <c r="K242" s="289">
        <v>56999</v>
      </c>
    </row>
    <row r="243" spans="2:14" x14ac:dyDescent="0.2">
      <c r="B243" s="28" t="s">
        <v>294</v>
      </c>
      <c r="C243" s="36" t="s">
        <v>295</v>
      </c>
      <c r="D243" s="9">
        <v>1700</v>
      </c>
      <c r="E243" s="9">
        <v>1006.28</v>
      </c>
      <c r="F243" s="9">
        <v>1006.28</v>
      </c>
      <c r="G243" s="9">
        <v>1006.28</v>
      </c>
      <c r="I243" s="289">
        <v>11000</v>
      </c>
      <c r="J243" s="289">
        <v>2011</v>
      </c>
      <c r="K243" s="289">
        <v>56010</v>
      </c>
    </row>
    <row r="244" spans="2:14" x14ac:dyDescent="0.2">
      <c r="B244" s="28" t="s">
        <v>296</v>
      </c>
      <c r="C244" s="36" t="s">
        <v>297</v>
      </c>
      <c r="D244" s="9">
        <v>500</v>
      </c>
      <c r="E244" s="9">
        <v>0</v>
      </c>
      <c r="F244" s="9">
        <v>152.37</v>
      </c>
      <c r="G244" s="9">
        <v>195.29</v>
      </c>
      <c r="I244" s="289">
        <v>11000</v>
      </c>
      <c r="J244" s="289">
        <v>2011</v>
      </c>
      <c r="K244" s="289">
        <v>57090</v>
      </c>
    </row>
    <row r="245" spans="2:14" x14ac:dyDescent="0.2">
      <c r="B245" s="28" t="s">
        <v>298</v>
      </c>
      <c r="C245" s="36" t="s">
        <v>159</v>
      </c>
      <c r="D245" s="9">
        <v>4500</v>
      </c>
      <c r="E245" s="9">
        <v>0</v>
      </c>
      <c r="F245" s="9">
        <v>0</v>
      </c>
      <c r="G245" s="9">
        <v>0</v>
      </c>
      <c r="I245" s="289">
        <v>11000</v>
      </c>
      <c r="J245" s="289">
        <v>2011</v>
      </c>
      <c r="K245" s="289">
        <v>57130</v>
      </c>
    </row>
    <row r="246" spans="2:14" x14ac:dyDescent="0.2">
      <c r="B246" s="28" t="s">
        <v>299</v>
      </c>
      <c r="C246" s="36" t="s">
        <v>300</v>
      </c>
      <c r="D246" s="9">
        <v>48000</v>
      </c>
      <c r="E246" s="9">
        <v>9246.6</v>
      </c>
      <c r="F246" s="9">
        <v>18114.45</v>
      </c>
      <c r="G246" s="9">
        <v>2629.36</v>
      </c>
      <c r="I246" s="289">
        <v>11000</v>
      </c>
      <c r="J246" s="289">
        <v>2011</v>
      </c>
      <c r="K246" s="289">
        <v>57160</v>
      </c>
    </row>
    <row r="247" spans="2:14" ht="13.5" thickBot="1" x14ac:dyDescent="0.25">
      <c r="B247" s="10" t="s">
        <v>301</v>
      </c>
      <c r="C247" s="56" t="s">
        <v>724</v>
      </c>
      <c r="D247" s="12">
        <v>45000</v>
      </c>
      <c r="E247" s="12">
        <v>0</v>
      </c>
      <c r="F247" s="12">
        <v>0</v>
      </c>
      <c r="G247" s="12">
        <v>39167.19</v>
      </c>
      <c r="I247" s="289">
        <v>11000</v>
      </c>
      <c r="J247" s="289">
        <v>2011</v>
      </c>
      <c r="K247" s="289">
        <v>58020</v>
      </c>
    </row>
    <row r="248" spans="2:14" ht="13.5" thickBot="1" x14ac:dyDescent="0.25">
      <c r="C248" s="15" t="s">
        <v>67</v>
      </c>
      <c r="D248" s="303">
        <f t="shared" ref="D248:F248" si="14">SUM(D229:D247)</f>
        <v>303864.03999999998</v>
      </c>
      <c r="E248" s="303">
        <f t="shared" si="14"/>
        <v>22080.2</v>
      </c>
      <c r="F248" s="303">
        <f t="shared" si="14"/>
        <v>101241.18999999999</v>
      </c>
      <c r="G248" s="303">
        <f t="shared" ref="G248" si="15">SUM(G229:G247)</f>
        <v>172492.02</v>
      </c>
      <c r="I248" s="289"/>
      <c r="J248" s="289"/>
      <c r="K248" s="289"/>
    </row>
    <row r="249" spans="2:14" ht="14.25" thickTop="1" thickBot="1" x14ac:dyDescent="0.25">
      <c r="I249" s="289"/>
    </row>
    <row r="250" spans="2:14" ht="13.5" thickBot="1" x14ac:dyDescent="0.25">
      <c r="B250" s="4" t="s">
        <v>302</v>
      </c>
      <c r="C250" s="5"/>
      <c r="D250" s="301"/>
      <c r="E250" s="301"/>
      <c r="F250" s="301"/>
      <c r="G250" s="302"/>
      <c r="I250" s="289"/>
      <c r="J250" s="289"/>
      <c r="K250" s="289"/>
    </row>
    <row r="251" spans="2:14" x14ac:dyDescent="0.2">
      <c r="B251" s="28" t="s">
        <v>303</v>
      </c>
      <c r="C251" s="29" t="s">
        <v>76</v>
      </c>
      <c r="D251" s="9">
        <v>110011.2</v>
      </c>
      <c r="E251" s="9">
        <v>33846.160000000003</v>
      </c>
      <c r="F251" s="9">
        <v>50154.09</v>
      </c>
      <c r="G251" s="9">
        <v>62846.43</v>
      </c>
      <c r="I251" s="289">
        <v>11000</v>
      </c>
      <c r="J251" s="289">
        <v>2001</v>
      </c>
      <c r="K251" s="289">
        <v>51021</v>
      </c>
      <c r="L251" s="335"/>
      <c r="M251" s="335"/>
      <c r="N251" s="335"/>
    </row>
    <row r="252" spans="2:14" x14ac:dyDescent="0.2">
      <c r="B252" s="28" t="s">
        <v>304</v>
      </c>
      <c r="C252" s="6" t="s">
        <v>58</v>
      </c>
      <c r="D252" s="9">
        <v>1595.16</v>
      </c>
      <c r="E252" s="9">
        <v>490.54</v>
      </c>
      <c r="F252" s="9">
        <v>727</v>
      </c>
      <c r="G252" s="9">
        <v>911.02</v>
      </c>
      <c r="I252" s="289">
        <v>11000</v>
      </c>
      <c r="J252" s="289">
        <v>2001</v>
      </c>
      <c r="K252" s="289">
        <v>52011</v>
      </c>
      <c r="N252" s="335"/>
    </row>
    <row r="253" spans="2:14" x14ac:dyDescent="0.2">
      <c r="B253" s="28" t="s">
        <v>305</v>
      </c>
      <c r="C253" s="6" t="s">
        <v>81</v>
      </c>
      <c r="D253" s="9">
        <v>385.04</v>
      </c>
      <c r="E253" s="9">
        <v>103.32</v>
      </c>
      <c r="F253" s="9">
        <v>115.38</v>
      </c>
      <c r="G253" s="9">
        <v>187.74</v>
      </c>
      <c r="I253" s="289">
        <v>11000</v>
      </c>
      <c r="J253" s="289">
        <v>2001</v>
      </c>
      <c r="K253" s="289">
        <v>52090</v>
      </c>
      <c r="N253" s="335"/>
    </row>
    <row r="254" spans="2:14" x14ac:dyDescent="0.2">
      <c r="B254" s="28" t="s">
        <v>306</v>
      </c>
      <c r="C254" s="6" t="s">
        <v>83</v>
      </c>
      <c r="D254" s="9">
        <v>9901.01</v>
      </c>
      <c r="E254" s="9">
        <v>2737.32</v>
      </c>
      <c r="F254" s="9">
        <v>3944.15</v>
      </c>
      <c r="G254" s="9">
        <v>4978.55</v>
      </c>
      <c r="I254" s="289">
        <v>11000</v>
      </c>
      <c r="J254" s="289">
        <v>2001</v>
      </c>
      <c r="K254" s="289">
        <v>52020</v>
      </c>
      <c r="N254" s="335"/>
    </row>
    <row r="255" spans="2:14" x14ac:dyDescent="0.2">
      <c r="B255" s="28" t="s">
        <v>307</v>
      </c>
      <c r="C255" s="6" t="s">
        <v>85</v>
      </c>
      <c r="D255" s="9">
        <v>10.87</v>
      </c>
      <c r="E255" s="9">
        <v>4.5999999999999996</v>
      </c>
      <c r="F255" s="9">
        <v>6.9</v>
      </c>
      <c r="G255" s="9">
        <v>9.1999999999999993</v>
      </c>
      <c r="I255" s="289">
        <v>11000</v>
      </c>
      <c r="J255" s="289">
        <v>2001</v>
      </c>
      <c r="K255" s="289">
        <v>52100</v>
      </c>
      <c r="N255" s="335"/>
    </row>
    <row r="256" spans="2:14" ht="13.5" thickBot="1" x14ac:dyDescent="0.25">
      <c r="B256" s="28" t="s">
        <v>308</v>
      </c>
      <c r="C256" s="29" t="s">
        <v>93</v>
      </c>
      <c r="D256" s="9">
        <v>132</v>
      </c>
      <c r="E256" s="12">
        <v>25.55</v>
      </c>
      <c r="F256" s="12">
        <v>47.45</v>
      </c>
      <c r="G256" s="12">
        <v>69.349999999999994</v>
      </c>
      <c r="I256" s="289">
        <v>11000</v>
      </c>
      <c r="J256" s="289">
        <v>2001</v>
      </c>
      <c r="K256" s="289">
        <v>52040</v>
      </c>
      <c r="N256" s="335"/>
    </row>
    <row r="257" spans="2:12" x14ac:dyDescent="0.2">
      <c r="B257" s="24" t="s">
        <v>309</v>
      </c>
      <c r="C257" s="25" t="s">
        <v>60</v>
      </c>
      <c r="D257" s="17">
        <v>1000</v>
      </c>
      <c r="E257" s="9">
        <v>0</v>
      </c>
      <c r="F257" s="17">
        <v>0</v>
      </c>
      <c r="G257" s="17">
        <f>200-100</f>
        <v>100</v>
      </c>
      <c r="I257" s="289">
        <v>11000</v>
      </c>
      <c r="J257" s="289">
        <v>2001</v>
      </c>
      <c r="K257" s="289">
        <v>57050</v>
      </c>
    </row>
    <row r="258" spans="2:12" x14ac:dyDescent="0.2">
      <c r="B258" s="28" t="s">
        <v>310</v>
      </c>
      <c r="C258" s="36" t="s">
        <v>62</v>
      </c>
      <c r="D258" s="9">
        <v>1200</v>
      </c>
      <c r="E258" s="9">
        <v>0</v>
      </c>
      <c r="F258" s="9">
        <v>0</v>
      </c>
      <c r="G258" s="9">
        <v>552.44000000000005</v>
      </c>
      <c r="I258" s="289">
        <v>11000</v>
      </c>
      <c r="J258" s="289">
        <v>2001</v>
      </c>
      <c r="K258" s="289">
        <v>53050</v>
      </c>
    </row>
    <row r="259" spans="2:12" x14ac:dyDescent="0.2">
      <c r="B259" s="28" t="s">
        <v>311</v>
      </c>
      <c r="C259" s="36" t="s">
        <v>121</v>
      </c>
      <c r="D259" s="9">
        <v>105000</v>
      </c>
      <c r="E259" s="9">
        <v>25902.05</v>
      </c>
      <c r="F259" s="9">
        <f>46556.79+7135.63</f>
        <v>53692.42</v>
      </c>
      <c r="G259" s="9">
        <f>82621.51+1215.64</f>
        <v>83837.149999999994</v>
      </c>
      <c r="I259" s="289">
        <v>11000</v>
      </c>
      <c r="J259" s="289">
        <v>2001</v>
      </c>
      <c r="K259" s="289">
        <v>55030</v>
      </c>
    </row>
    <row r="260" spans="2:12" x14ac:dyDescent="0.2">
      <c r="B260" s="28" t="s">
        <v>312</v>
      </c>
      <c r="C260" s="36" t="s">
        <v>313</v>
      </c>
      <c r="D260" s="9">
        <v>1700</v>
      </c>
      <c r="E260" s="9">
        <v>459.43</v>
      </c>
      <c r="F260" s="9">
        <v>881.02</v>
      </c>
      <c r="G260" s="9">
        <v>1242.03</v>
      </c>
      <c r="I260" s="289">
        <v>11000</v>
      </c>
      <c r="J260" s="289">
        <v>2001</v>
      </c>
      <c r="K260" s="289">
        <v>56999</v>
      </c>
      <c r="L260" s="335"/>
    </row>
    <row r="261" spans="2:12" x14ac:dyDescent="0.2">
      <c r="B261" s="28" t="s">
        <v>314</v>
      </c>
      <c r="C261" s="36" t="s">
        <v>64</v>
      </c>
      <c r="D261" s="9">
        <v>25000</v>
      </c>
      <c r="E261" s="9">
        <v>2764</v>
      </c>
      <c r="F261" s="9">
        <v>12941.62</v>
      </c>
      <c r="G261" s="9">
        <v>17941.62</v>
      </c>
      <c r="I261" s="289">
        <v>11000</v>
      </c>
      <c r="J261" s="289">
        <v>2001</v>
      </c>
      <c r="K261" s="292">
        <v>57150</v>
      </c>
    </row>
    <row r="262" spans="2:12" x14ac:dyDescent="0.2">
      <c r="B262" s="28" t="s">
        <v>315</v>
      </c>
      <c r="C262" s="36" t="s">
        <v>316</v>
      </c>
      <c r="D262" s="9">
        <v>110000</v>
      </c>
      <c r="E262" s="9">
        <v>37415.230000000003</v>
      </c>
      <c r="F262" s="9">
        <v>56310.44</v>
      </c>
      <c r="G262" s="9">
        <v>74498.64</v>
      </c>
      <c r="I262" s="289">
        <v>11000</v>
      </c>
      <c r="J262" s="289">
        <v>2001</v>
      </c>
      <c r="K262" s="289">
        <v>56120</v>
      </c>
    </row>
    <row r="263" spans="2:12" ht="13.5" thickBot="1" x14ac:dyDescent="0.25">
      <c r="B263" s="26" t="s">
        <v>910</v>
      </c>
      <c r="C263" s="34" t="s">
        <v>317</v>
      </c>
      <c r="D263" s="12">
        <v>150000</v>
      </c>
      <c r="E263" s="12">
        <v>40434.78</v>
      </c>
      <c r="F263" s="12">
        <v>69014.45</v>
      </c>
      <c r="G263" s="12">
        <v>94544.05</v>
      </c>
      <c r="I263" s="289">
        <v>11000</v>
      </c>
      <c r="J263" s="289">
        <v>2001</v>
      </c>
      <c r="K263" s="289">
        <v>57999</v>
      </c>
    </row>
    <row r="264" spans="2:12" ht="13.5" thickBot="1" x14ac:dyDescent="0.25">
      <c r="C264" s="15" t="s">
        <v>67</v>
      </c>
      <c r="D264" s="303">
        <f>+SUM(D251:D263)</f>
        <v>515935.27999999997</v>
      </c>
      <c r="E264" s="303">
        <f>+SUM(E251:E263)</f>
        <v>144182.98000000001</v>
      </c>
      <c r="F264" s="303">
        <f>+SUM(F251:F263)</f>
        <v>247834.91999999998</v>
      </c>
      <c r="G264" s="303">
        <f>+SUM(G251:G263)</f>
        <v>341718.22</v>
      </c>
      <c r="I264" s="289"/>
      <c r="J264" s="289"/>
      <c r="K264" s="289"/>
    </row>
    <row r="265" spans="2:12" ht="14.25" customHeight="1" thickTop="1" thickBot="1" x14ac:dyDescent="0.25"/>
    <row r="266" spans="2:12" ht="13.5" thickBot="1" x14ac:dyDescent="0.25">
      <c r="B266" s="37" t="s">
        <v>318</v>
      </c>
      <c r="C266" s="38" t="s">
        <v>319</v>
      </c>
      <c r="D266" s="39">
        <f>+D297+D325+D333+D377+D383+D426+D587+D510+D558+D405</f>
        <v>725572.72</v>
      </c>
      <c r="E266" s="39">
        <f>+E297+E325+E333+E377+E383+E510+E558+E587+E426</f>
        <v>162.54</v>
      </c>
      <c r="F266" s="39">
        <f>(F297+F325+F333+F377+F383+F510+F558+F587+F426)</f>
        <v>31380.91</v>
      </c>
      <c r="G266" s="39">
        <f>(G297+G325+G333+G377+G383+G510+G558+G587+G426+G366)</f>
        <v>344506.22000000003</v>
      </c>
      <c r="I266" s="289">
        <v>11000</v>
      </c>
      <c r="J266" s="289">
        <v>1</v>
      </c>
      <c r="K266" s="289">
        <v>61200</v>
      </c>
    </row>
    <row r="267" spans="2:12" ht="13.5" thickBot="1" x14ac:dyDescent="0.25">
      <c r="B267" s="37" t="s">
        <v>320</v>
      </c>
      <c r="C267" s="38" t="s">
        <v>321</v>
      </c>
      <c r="D267" s="91">
        <v>310000</v>
      </c>
      <c r="E267" s="91">
        <v>100000</v>
      </c>
      <c r="F267" s="91">
        <v>209305.05</v>
      </c>
      <c r="G267" s="91">
        <v>209305.05</v>
      </c>
      <c r="I267" s="289">
        <v>11000</v>
      </c>
      <c r="J267" s="289">
        <v>1</v>
      </c>
      <c r="K267" s="289">
        <v>61100</v>
      </c>
    </row>
    <row r="268" spans="2:12" x14ac:dyDescent="0.2">
      <c r="D268" s="306"/>
      <c r="E268" s="306"/>
      <c r="F268" s="306"/>
      <c r="G268" s="306"/>
      <c r="I268" s="289"/>
      <c r="J268" s="289"/>
      <c r="K268" s="289"/>
    </row>
    <row r="269" spans="2:12" x14ac:dyDescent="0.2">
      <c r="C269" s="15" t="s">
        <v>322</v>
      </c>
      <c r="D269" s="18"/>
      <c r="E269" s="307">
        <f>+E38+E46+E66+E87+E111+E151+E170+E191+E205+E226+E248+E264+E125</f>
        <v>929814.36999999988</v>
      </c>
      <c r="F269" s="307">
        <f>+F38+F46+F66+F87+F111+F151+F170+F191+F205+F226+F248+F264+F125</f>
        <v>1677648.3699999999</v>
      </c>
      <c r="G269" s="307">
        <f>+G38+G46+G66+G87+G111+G151+G170+G191+G205+G226+G248+G264+G125</f>
        <v>2402875.56</v>
      </c>
      <c r="I269" s="290"/>
      <c r="J269" s="290"/>
      <c r="K269" s="290"/>
    </row>
    <row r="270" spans="2:12" x14ac:dyDescent="0.2">
      <c r="C270" s="15" t="s">
        <v>323</v>
      </c>
      <c r="D270" s="18"/>
      <c r="E270" s="308">
        <f t="shared" ref="E270:F271" si="16">+E266</f>
        <v>162.54</v>
      </c>
      <c r="F270" s="308">
        <f t="shared" si="16"/>
        <v>31380.91</v>
      </c>
      <c r="G270" s="308">
        <f>+G266</f>
        <v>344506.22000000003</v>
      </c>
      <c r="H270" s="472"/>
      <c r="I270" s="289"/>
      <c r="J270" s="289"/>
      <c r="K270" s="289"/>
    </row>
    <row r="271" spans="2:12" x14ac:dyDescent="0.2">
      <c r="C271" s="15" t="s">
        <v>324</v>
      </c>
      <c r="D271" s="18"/>
      <c r="E271" s="309">
        <f t="shared" si="16"/>
        <v>100000</v>
      </c>
      <c r="F271" s="309">
        <f t="shared" si="16"/>
        <v>209305.05</v>
      </c>
      <c r="G271" s="309">
        <f>+G267</f>
        <v>209305.05</v>
      </c>
      <c r="H271" s="472"/>
      <c r="I271" s="289"/>
      <c r="J271" s="289"/>
      <c r="K271" s="289"/>
    </row>
    <row r="272" spans="2:12" ht="13.5" thickBot="1" x14ac:dyDescent="0.25">
      <c r="C272" s="15" t="s">
        <v>325</v>
      </c>
      <c r="D272" s="18"/>
      <c r="E272" s="310">
        <f>+E28</f>
        <v>733192.71</v>
      </c>
      <c r="F272" s="310">
        <f>+F28</f>
        <v>1566788.58</v>
      </c>
      <c r="G272" s="310">
        <f>+G28</f>
        <v>3207260.4899999998</v>
      </c>
      <c r="H272" s="472"/>
      <c r="I272" s="289"/>
      <c r="J272" s="289"/>
      <c r="K272" s="289"/>
      <c r="L272" s="335"/>
    </row>
    <row r="273" spans="2:11" ht="13.5" thickTop="1" x14ac:dyDescent="0.2">
      <c r="C273" s="15" t="s">
        <v>326</v>
      </c>
      <c r="D273" s="18"/>
      <c r="E273" s="18">
        <f>+E272+E271-E269-E270</f>
        <v>-96784.19999999991</v>
      </c>
      <c r="F273" s="18">
        <f>+F272+F271-F269-F270</f>
        <v>67064.350000000239</v>
      </c>
      <c r="G273" s="18">
        <f>+G272+G271-G269-G270</f>
        <v>669183.75999999954</v>
      </c>
      <c r="I273" s="289"/>
      <c r="J273" s="289"/>
      <c r="K273" s="289"/>
    </row>
    <row r="274" spans="2:11" ht="13.5" thickBot="1" x14ac:dyDescent="0.25">
      <c r="C274" s="15"/>
      <c r="D274" s="18"/>
      <c r="E274" s="18"/>
      <c r="F274" s="18"/>
      <c r="G274" s="18"/>
      <c r="I274" s="289"/>
      <c r="J274" s="289"/>
      <c r="K274" s="289"/>
    </row>
    <row r="275" spans="2:11" ht="13.5" thickBot="1" x14ac:dyDescent="0.25">
      <c r="B275" s="98" t="s">
        <v>327</v>
      </c>
      <c r="C275" s="99"/>
      <c r="D275" s="311"/>
      <c r="E275" s="311"/>
      <c r="F275" s="311"/>
      <c r="G275" s="312"/>
      <c r="I275" s="289"/>
      <c r="J275" s="289"/>
      <c r="K275" s="289"/>
    </row>
    <row r="276" spans="2:11" ht="13.5" thickBot="1" x14ac:dyDescent="0.25">
      <c r="B276" s="285" t="s">
        <v>328</v>
      </c>
      <c r="C276" s="286"/>
      <c r="D276" s="313"/>
      <c r="E276" s="313"/>
      <c r="F276" s="313"/>
      <c r="G276" s="314"/>
      <c r="I276" s="289"/>
      <c r="J276" s="289"/>
      <c r="K276" s="289"/>
    </row>
    <row r="277" spans="2:11" x14ac:dyDescent="0.2">
      <c r="B277" s="28" t="s">
        <v>329</v>
      </c>
      <c r="C277" s="29" t="s">
        <v>330</v>
      </c>
      <c r="D277" s="9">
        <v>4000</v>
      </c>
      <c r="E277" s="9">
        <v>0</v>
      </c>
      <c r="F277" s="9">
        <v>0</v>
      </c>
      <c r="G277" s="9">
        <v>3126.26</v>
      </c>
      <c r="I277" s="289">
        <v>29900</v>
      </c>
      <c r="J277" s="289">
        <v>1</v>
      </c>
      <c r="K277" s="289">
        <v>46060</v>
      </c>
    </row>
    <row r="278" spans="2:11" ht="13.5" thickBot="1" x14ac:dyDescent="0.25">
      <c r="B278" s="26" t="s">
        <v>331</v>
      </c>
      <c r="C278" s="27" t="s">
        <v>332</v>
      </c>
      <c r="D278" s="12">
        <v>6500</v>
      </c>
      <c r="E278" s="12">
        <v>810</v>
      </c>
      <c r="F278" s="12">
        <v>1253.48</v>
      </c>
      <c r="G278" s="12">
        <v>1812.81</v>
      </c>
      <c r="I278" s="289">
        <v>29900</v>
      </c>
      <c r="J278" s="289">
        <v>1</v>
      </c>
      <c r="K278" s="289">
        <v>45020</v>
      </c>
    </row>
    <row r="279" spans="2:11" ht="12.75" customHeight="1" x14ac:dyDescent="0.2">
      <c r="B279" s="28" t="s">
        <v>333</v>
      </c>
      <c r="C279" s="29" t="s">
        <v>60</v>
      </c>
      <c r="D279" s="17">
        <v>2000</v>
      </c>
      <c r="E279" s="17">
        <v>0</v>
      </c>
      <c r="F279" s="17">
        <v>0</v>
      </c>
      <c r="G279" s="17">
        <v>0</v>
      </c>
      <c r="I279" s="289">
        <v>29900</v>
      </c>
      <c r="J279" s="289">
        <v>2002</v>
      </c>
      <c r="K279" s="289">
        <v>57050</v>
      </c>
    </row>
    <row r="280" spans="2:11" x14ac:dyDescent="0.2">
      <c r="B280" s="28" t="s">
        <v>334</v>
      </c>
      <c r="C280" s="29" t="s">
        <v>335</v>
      </c>
      <c r="D280" s="9">
        <v>6500</v>
      </c>
      <c r="E280" s="9">
        <v>1306.3499999999999</v>
      </c>
      <c r="F280" s="9">
        <v>1671.78</v>
      </c>
      <c r="G280" s="9">
        <v>2034.39</v>
      </c>
      <c r="I280" s="289">
        <v>29900</v>
      </c>
      <c r="J280" s="289">
        <v>2002</v>
      </c>
      <c r="K280" s="289">
        <v>55999</v>
      </c>
    </row>
    <row r="281" spans="2:11" ht="13.5" thickBot="1" x14ac:dyDescent="0.25">
      <c r="B281" s="26" t="s">
        <v>336</v>
      </c>
      <c r="C281" s="27" t="s">
        <v>125</v>
      </c>
      <c r="D281" s="12">
        <v>2000</v>
      </c>
      <c r="E281" s="12">
        <v>0</v>
      </c>
      <c r="F281" s="12">
        <v>0</v>
      </c>
      <c r="G281" s="12">
        <v>0</v>
      </c>
      <c r="I281" s="289">
        <v>29900</v>
      </c>
      <c r="J281" s="289">
        <v>2002</v>
      </c>
      <c r="K281" s="289">
        <v>56999</v>
      </c>
    </row>
    <row r="282" spans="2:11" ht="13.5" thickBot="1" x14ac:dyDescent="0.25">
      <c r="C282" s="15" t="s">
        <v>337</v>
      </c>
      <c r="D282" s="42">
        <f t="shared" ref="D282:F282" si="17">+D277+D278-D279-D280-D281</f>
        <v>0</v>
      </c>
      <c r="E282" s="42">
        <f t="shared" si="17"/>
        <v>-496.34999999999991</v>
      </c>
      <c r="F282" s="42">
        <f t="shared" si="17"/>
        <v>-418.29999999999995</v>
      </c>
      <c r="G282" s="42">
        <f t="shared" ref="G282" si="18">+G277+G278-G279-G280-G281</f>
        <v>2904.6799999999994</v>
      </c>
      <c r="I282" s="289"/>
      <c r="J282" s="289"/>
      <c r="K282" s="289"/>
    </row>
    <row r="283" spans="2:11" ht="14.25" thickTop="1" thickBot="1" x14ac:dyDescent="0.25">
      <c r="D283" s="16"/>
      <c r="E283" s="16"/>
      <c r="F283" s="16"/>
      <c r="G283" s="16"/>
      <c r="I283" s="289"/>
      <c r="J283" s="290"/>
      <c r="K283" s="290"/>
    </row>
    <row r="284" spans="2:11" ht="13.5" thickBot="1" x14ac:dyDescent="0.25">
      <c r="B284" s="40" t="s">
        <v>338</v>
      </c>
      <c r="C284" s="41"/>
      <c r="D284" s="315"/>
      <c r="E284" s="315"/>
      <c r="F284" s="315"/>
      <c r="G284" s="316"/>
      <c r="I284" s="289"/>
      <c r="J284" s="289"/>
      <c r="K284" s="289"/>
    </row>
    <row r="285" spans="2:11" ht="13.5" thickBot="1" x14ac:dyDescent="0.25">
      <c r="B285" s="26" t="s">
        <v>339</v>
      </c>
      <c r="C285" s="27" t="s">
        <v>340</v>
      </c>
      <c r="D285" s="12">
        <v>3000</v>
      </c>
      <c r="E285" s="12">
        <v>405</v>
      </c>
      <c r="F285" s="12">
        <v>627</v>
      </c>
      <c r="G285" s="12">
        <v>912</v>
      </c>
      <c r="I285" s="289">
        <v>29900</v>
      </c>
      <c r="J285" s="289">
        <v>1</v>
      </c>
      <c r="K285" s="289">
        <v>44990</v>
      </c>
    </row>
    <row r="286" spans="2:11" ht="13.5" thickBot="1" x14ac:dyDescent="0.25">
      <c r="B286" s="26" t="s">
        <v>341</v>
      </c>
      <c r="C286" s="27" t="s">
        <v>342</v>
      </c>
      <c r="D286" s="43">
        <v>3000</v>
      </c>
      <c r="E286" s="43">
        <v>465</v>
      </c>
      <c r="F286" s="43">
        <v>792</v>
      </c>
      <c r="G286" s="43">
        <v>969</v>
      </c>
      <c r="I286" s="289">
        <v>29900</v>
      </c>
      <c r="J286" s="289">
        <v>2002</v>
      </c>
      <c r="K286" s="289">
        <v>57999</v>
      </c>
    </row>
    <row r="287" spans="2:11" ht="13.5" thickBot="1" x14ac:dyDescent="0.25">
      <c r="C287" s="15" t="s">
        <v>337</v>
      </c>
      <c r="D287" s="42">
        <f t="shared" ref="D287:F287" si="19">+D285-D286</f>
        <v>0</v>
      </c>
      <c r="E287" s="42">
        <f t="shared" si="19"/>
        <v>-60</v>
      </c>
      <c r="F287" s="42">
        <f t="shared" si="19"/>
        <v>-165</v>
      </c>
      <c r="G287" s="42">
        <f t="shared" ref="G287" si="20">+G285-G286</f>
        <v>-57</v>
      </c>
      <c r="I287" s="289"/>
      <c r="J287" s="289"/>
      <c r="K287" s="289"/>
    </row>
    <row r="288" spans="2:11" ht="14.25" thickTop="1" thickBot="1" x14ac:dyDescent="0.25"/>
    <row r="289" spans="2:11" ht="13.5" thickBot="1" x14ac:dyDescent="0.25">
      <c r="B289" s="40" t="s">
        <v>343</v>
      </c>
      <c r="C289" s="41"/>
      <c r="D289" s="315"/>
      <c r="E289" s="315"/>
      <c r="F289" s="315"/>
      <c r="G289" s="316"/>
      <c r="I289" s="289"/>
      <c r="J289" s="289"/>
      <c r="K289" s="289"/>
    </row>
    <row r="290" spans="2:11" ht="13.5" thickBot="1" x14ac:dyDescent="0.25">
      <c r="B290" s="26" t="s">
        <v>344</v>
      </c>
      <c r="C290" s="27" t="s">
        <v>345</v>
      </c>
      <c r="D290" s="9">
        <v>21000</v>
      </c>
      <c r="E290" s="76">
        <v>2668</v>
      </c>
      <c r="F290" s="12">
        <v>4068</v>
      </c>
      <c r="G290" s="12">
        <v>5004</v>
      </c>
      <c r="I290" s="289">
        <v>22600</v>
      </c>
      <c r="J290" s="289">
        <v>1</v>
      </c>
      <c r="K290" s="289">
        <v>44040</v>
      </c>
    </row>
    <row r="291" spans="2:11" ht="13.5" thickBot="1" x14ac:dyDescent="0.25">
      <c r="B291" s="26" t="s">
        <v>346</v>
      </c>
      <c r="C291" s="27" t="s">
        <v>347</v>
      </c>
      <c r="D291" s="43">
        <v>21000</v>
      </c>
      <c r="E291" s="43">
        <v>707.98</v>
      </c>
      <c r="F291" s="43">
        <v>2022.8</v>
      </c>
      <c r="G291" s="43">
        <v>4450.16</v>
      </c>
      <c r="I291" s="289">
        <v>22600</v>
      </c>
      <c r="J291" s="289">
        <v>8002</v>
      </c>
      <c r="K291" s="289">
        <v>57010</v>
      </c>
    </row>
    <row r="292" spans="2:11" ht="13.5" thickBot="1" x14ac:dyDescent="0.25">
      <c r="C292" s="15" t="s">
        <v>337</v>
      </c>
      <c r="D292" s="44">
        <f t="shared" ref="D292:F292" si="21">+D290-D291</f>
        <v>0</v>
      </c>
      <c r="E292" s="44">
        <f t="shared" si="21"/>
        <v>1960.02</v>
      </c>
      <c r="F292" s="44">
        <f t="shared" si="21"/>
        <v>2045.2</v>
      </c>
      <c r="G292" s="44">
        <f t="shared" ref="G292" si="22">+G290-G291</f>
        <v>553.84000000000015</v>
      </c>
      <c r="I292" s="289"/>
      <c r="J292" s="289"/>
      <c r="K292" s="289"/>
    </row>
    <row r="293" spans="2:11" ht="14.25" thickTop="1" thickBot="1" x14ac:dyDescent="0.25">
      <c r="C293" s="15"/>
      <c r="D293" s="16"/>
      <c r="E293" s="16"/>
      <c r="F293" s="16"/>
      <c r="G293" s="16"/>
      <c r="I293" s="290"/>
      <c r="J293" s="290"/>
      <c r="K293" s="290"/>
    </row>
    <row r="294" spans="2:11" ht="13.5" thickBot="1" x14ac:dyDescent="0.25">
      <c r="B294" s="98" t="s">
        <v>348</v>
      </c>
      <c r="C294" s="99"/>
      <c r="D294" s="311"/>
      <c r="E294" s="311"/>
      <c r="F294" s="311"/>
      <c r="G294" s="312"/>
      <c r="H294" s="468"/>
      <c r="I294" s="292"/>
      <c r="J294" s="289"/>
      <c r="K294" s="289"/>
    </row>
    <row r="295" spans="2:11" ht="13.5" thickBot="1" x14ac:dyDescent="0.25">
      <c r="B295" s="403" t="s">
        <v>349</v>
      </c>
      <c r="C295" s="404"/>
      <c r="D295" s="405"/>
      <c r="E295" s="405"/>
      <c r="F295" s="405"/>
      <c r="G295" s="406"/>
      <c r="H295" s="468"/>
      <c r="I295" s="292"/>
      <c r="J295" s="289"/>
      <c r="K295" s="289"/>
    </row>
    <row r="296" spans="2:11" x14ac:dyDescent="0.2">
      <c r="B296" s="28" t="s">
        <v>350</v>
      </c>
      <c r="C296" s="29" t="s">
        <v>351</v>
      </c>
      <c r="D296" s="9">
        <v>5010</v>
      </c>
      <c r="E296" s="9">
        <v>524.08000000000004</v>
      </c>
      <c r="F296" s="9">
        <v>584.78</v>
      </c>
      <c r="G296" s="9">
        <v>584.78</v>
      </c>
      <c r="H296" s="468"/>
      <c r="I296" s="292">
        <v>22300</v>
      </c>
      <c r="J296" s="289">
        <v>1</v>
      </c>
      <c r="K296" s="289">
        <v>47499</v>
      </c>
    </row>
    <row r="297" spans="2:11" ht="13.5" thickBot="1" x14ac:dyDescent="0.25">
      <c r="B297" s="78" t="s">
        <v>352</v>
      </c>
      <c r="C297" s="79" t="s">
        <v>353</v>
      </c>
      <c r="D297" s="50">
        <v>43</v>
      </c>
      <c r="E297" s="49">
        <v>0</v>
      </c>
      <c r="F297" s="49">
        <v>0</v>
      </c>
      <c r="G297" s="49">
        <v>0</v>
      </c>
      <c r="H297" s="468"/>
      <c r="I297" s="292">
        <v>22300</v>
      </c>
      <c r="J297" s="289">
        <v>1</v>
      </c>
      <c r="K297" s="289">
        <v>61100</v>
      </c>
    </row>
    <row r="298" spans="2:11" x14ac:dyDescent="0.2">
      <c r="B298" s="28" t="s">
        <v>354</v>
      </c>
      <c r="C298" s="29" t="s">
        <v>134</v>
      </c>
      <c r="D298" s="17">
        <v>5010</v>
      </c>
      <c r="E298" s="9">
        <v>0</v>
      </c>
      <c r="F298" s="17">
        <v>0</v>
      </c>
      <c r="G298" s="17">
        <v>0</v>
      </c>
      <c r="H298" s="468"/>
      <c r="I298" s="292">
        <v>22300</v>
      </c>
      <c r="J298" s="289">
        <v>2002</v>
      </c>
      <c r="K298" s="289">
        <v>51060</v>
      </c>
    </row>
    <row r="299" spans="2:11" ht="13.5" thickBot="1" x14ac:dyDescent="0.25">
      <c r="B299" s="26" t="s">
        <v>355</v>
      </c>
      <c r="C299" s="27" t="s">
        <v>58</v>
      </c>
      <c r="D299" s="12">
        <v>43</v>
      </c>
      <c r="E299" s="12">
        <v>0</v>
      </c>
      <c r="F299" s="12">
        <v>0</v>
      </c>
      <c r="G299" s="12">
        <v>0</v>
      </c>
      <c r="H299" s="468"/>
      <c r="I299" s="292">
        <v>22300</v>
      </c>
      <c r="J299" s="289">
        <v>2002</v>
      </c>
      <c r="K299" s="289">
        <v>52011</v>
      </c>
    </row>
    <row r="300" spans="2:11" ht="13.5" thickBot="1" x14ac:dyDescent="0.25">
      <c r="C300" s="15" t="s">
        <v>337</v>
      </c>
      <c r="D300" s="44">
        <f t="shared" ref="D300:F300" si="23">+D296+D297-D298-D299</f>
        <v>0</v>
      </c>
      <c r="E300" s="44">
        <f t="shared" si="23"/>
        <v>524.08000000000004</v>
      </c>
      <c r="F300" s="44">
        <f t="shared" si="23"/>
        <v>584.78</v>
      </c>
      <c r="G300" s="44">
        <f t="shared" ref="G300" si="24">+G296+G297-G298-G299</f>
        <v>584.78</v>
      </c>
      <c r="H300" s="468"/>
      <c r="I300" s="292"/>
      <c r="J300" s="289"/>
      <c r="K300" s="289"/>
    </row>
    <row r="301" spans="2:11" ht="14.25" thickTop="1" thickBot="1" x14ac:dyDescent="0.25">
      <c r="C301" s="15"/>
      <c r="D301" s="16"/>
      <c r="E301" s="16"/>
      <c r="F301" s="16"/>
      <c r="G301" s="16"/>
      <c r="H301" s="468"/>
      <c r="I301" s="292"/>
      <c r="J301" s="290"/>
      <c r="K301" s="290"/>
    </row>
    <row r="302" spans="2:11" ht="13.5" thickBot="1" x14ac:dyDescent="0.25">
      <c r="B302" s="45" t="s">
        <v>733</v>
      </c>
      <c r="C302" s="46"/>
      <c r="D302" s="47"/>
      <c r="E302" s="47"/>
      <c r="F302" s="47"/>
      <c r="G302" s="48"/>
      <c r="H302" s="468"/>
      <c r="I302" s="292"/>
      <c r="J302" s="289"/>
      <c r="K302" s="289"/>
    </row>
    <row r="303" spans="2:11" ht="13.5" thickBot="1" x14ac:dyDescent="0.25">
      <c r="B303" s="26" t="s">
        <v>732</v>
      </c>
      <c r="C303" s="27" t="s">
        <v>734</v>
      </c>
      <c r="D303" s="12">
        <v>100000</v>
      </c>
      <c r="E303" s="12">
        <v>0</v>
      </c>
      <c r="F303" s="12">
        <v>0</v>
      </c>
      <c r="G303" s="12">
        <v>17504.330000000002</v>
      </c>
      <c r="H303" s="468"/>
      <c r="I303" s="292"/>
      <c r="J303" s="289">
        <v>1</v>
      </c>
      <c r="K303" s="289"/>
    </row>
    <row r="304" spans="2:11" x14ac:dyDescent="0.2">
      <c r="B304" s="24" t="s">
        <v>735</v>
      </c>
      <c r="C304" s="25" t="s">
        <v>78</v>
      </c>
      <c r="D304" s="17">
        <v>35176</v>
      </c>
      <c r="E304" s="17">
        <v>0</v>
      </c>
      <c r="F304" s="17">
        <v>14807.62</v>
      </c>
      <c r="G304" s="17">
        <v>19842.099999999999</v>
      </c>
      <c r="I304" s="289"/>
      <c r="J304" s="289">
        <v>2002</v>
      </c>
      <c r="K304" s="289"/>
    </row>
    <row r="305" spans="2:11" x14ac:dyDescent="0.2">
      <c r="B305" s="28" t="s">
        <v>736</v>
      </c>
      <c r="C305" s="29" t="s">
        <v>393</v>
      </c>
      <c r="D305" s="9">
        <v>535</v>
      </c>
      <c r="E305" s="9">
        <v>0</v>
      </c>
      <c r="F305" s="9">
        <v>204.86</v>
      </c>
      <c r="G305" s="9">
        <v>272.12</v>
      </c>
      <c r="I305" s="289"/>
      <c r="J305" s="289">
        <v>2002</v>
      </c>
      <c r="K305" s="289"/>
    </row>
    <row r="306" spans="2:11" x14ac:dyDescent="0.2">
      <c r="B306" s="28" t="s">
        <v>737</v>
      </c>
      <c r="C306" s="29" t="s">
        <v>81</v>
      </c>
      <c r="D306" s="9">
        <v>130</v>
      </c>
      <c r="E306" s="9">
        <v>0</v>
      </c>
      <c r="F306" s="9">
        <v>12.8</v>
      </c>
      <c r="G306" s="9">
        <v>39.25</v>
      </c>
      <c r="I306" s="289"/>
      <c r="J306" s="289">
        <v>2002</v>
      </c>
      <c r="K306" s="289"/>
    </row>
    <row r="307" spans="2:11" x14ac:dyDescent="0.2">
      <c r="B307" s="28" t="s">
        <v>738</v>
      </c>
      <c r="C307" s="29" t="s">
        <v>83</v>
      </c>
      <c r="D307" s="9">
        <v>4114</v>
      </c>
      <c r="E307" s="9">
        <v>0</v>
      </c>
      <c r="F307" s="9">
        <v>1675.75</v>
      </c>
      <c r="G307" s="9">
        <v>2203.0700000000002</v>
      </c>
      <c r="I307" s="289"/>
      <c r="J307" s="289">
        <v>2002</v>
      </c>
      <c r="K307" s="289"/>
    </row>
    <row r="308" spans="2:11" x14ac:dyDescent="0.2">
      <c r="B308" s="28" t="s">
        <v>753</v>
      </c>
      <c r="C308" s="29" t="s">
        <v>85</v>
      </c>
      <c r="D308" s="9">
        <f>2.3*3</f>
        <v>6.8999999999999995</v>
      </c>
      <c r="E308" s="9">
        <v>0</v>
      </c>
      <c r="F308" s="9">
        <v>2.2999999999999998</v>
      </c>
      <c r="G308" s="9">
        <v>2.2999999999999998</v>
      </c>
      <c r="I308" s="289"/>
      <c r="J308" s="289"/>
      <c r="K308" s="289"/>
    </row>
    <row r="309" spans="2:11" x14ac:dyDescent="0.2">
      <c r="B309" s="28" t="s">
        <v>739</v>
      </c>
      <c r="C309" s="29" t="s">
        <v>87</v>
      </c>
      <c r="D309" s="9">
        <v>4105</v>
      </c>
      <c r="E309" s="9">
        <v>0</v>
      </c>
      <c r="F309" s="9">
        <v>1647.77</v>
      </c>
      <c r="G309" s="9">
        <v>2208.52</v>
      </c>
      <c r="I309" s="289"/>
      <c r="J309" s="289">
        <v>2002</v>
      </c>
      <c r="K309" s="289"/>
    </row>
    <row r="310" spans="2:11" x14ac:dyDescent="0.2">
      <c r="B310" s="28" t="s">
        <v>740</v>
      </c>
      <c r="C310" s="29" t="s">
        <v>89</v>
      </c>
      <c r="D310" s="9">
        <v>312</v>
      </c>
      <c r="E310" s="9">
        <v>0</v>
      </c>
      <c r="F310" s="9">
        <v>124.89</v>
      </c>
      <c r="G310" s="9">
        <v>167.39</v>
      </c>
      <c r="I310" s="289"/>
      <c r="J310" s="289">
        <v>2002</v>
      </c>
      <c r="K310" s="289"/>
    </row>
    <row r="311" spans="2:11" x14ac:dyDescent="0.2">
      <c r="B311" s="28" t="s">
        <v>741</v>
      </c>
      <c r="C311" s="29" t="s">
        <v>91</v>
      </c>
      <c r="D311" s="9">
        <v>68</v>
      </c>
      <c r="E311" s="9">
        <v>0</v>
      </c>
      <c r="F311" s="9">
        <v>26.93</v>
      </c>
      <c r="G311" s="9">
        <v>36.090000000000003</v>
      </c>
      <c r="I311" s="289"/>
      <c r="J311" s="289">
        <v>2002</v>
      </c>
      <c r="K311" s="289"/>
    </row>
    <row r="312" spans="2:11" x14ac:dyDescent="0.2">
      <c r="B312" s="28" t="s">
        <v>742</v>
      </c>
      <c r="C312" s="29" t="s">
        <v>93</v>
      </c>
      <c r="D312" s="9">
        <v>83</v>
      </c>
      <c r="E312" s="9">
        <v>0</v>
      </c>
      <c r="F312" s="9">
        <v>30.44</v>
      </c>
      <c r="G312" s="9">
        <v>40.799999999999997</v>
      </c>
      <c r="I312" s="289"/>
      <c r="J312" s="289">
        <v>2002</v>
      </c>
      <c r="K312" s="289"/>
    </row>
    <row r="313" spans="2:11" ht="13.5" thickBot="1" x14ac:dyDescent="0.25">
      <c r="B313" s="26" t="s">
        <v>743</v>
      </c>
      <c r="C313" s="27" t="s">
        <v>125</v>
      </c>
      <c r="D313" s="12">
        <v>55470.1</v>
      </c>
      <c r="E313" s="12">
        <v>0</v>
      </c>
      <c r="F313" s="12">
        <v>1208.6600000000001</v>
      </c>
      <c r="G313" s="12">
        <v>1208.6600000000001</v>
      </c>
      <c r="I313" s="289"/>
      <c r="J313" s="289">
        <v>2002</v>
      </c>
      <c r="K313" s="289"/>
    </row>
    <row r="314" spans="2:11" ht="13.5" thickBot="1" x14ac:dyDescent="0.25">
      <c r="C314" s="15" t="s">
        <v>744</v>
      </c>
      <c r="D314" s="42">
        <f>+D303-SUM(D304:D313)</f>
        <v>0</v>
      </c>
      <c r="E314" s="42">
        <f>E303-E304-E305-E306-E307-E309-E310-E311-E312-E313</f>
        <v>0</v>
      </c>
      <c r="F314" s="42">
        <f>F303-F304-F305-F306-F307-F309-F310-F311-F312-F313</f>
        <v>-19739.719999999998</v>
      </c>
      <c r="G314" s="42">
        <f>G303-G304-G305-G306-G307-G309-G310-G311-G312-G313</f>
        <v>-8513.6699999999983</v>
      </c>
      <c r="I314" s="289"/>
      <c r="J314" s="289"/>
      <c r="K314" s="289"/>
    </row>
    <row r="315" spans="2:11" ht="14.25" thickTop="1" thickBot="1" x14ac:dyDescent="0.25">
      <c r="D315" s="16"/>
      <c r="E315" s="16"/>
      <c r="F315" s="16"/>
      <c r="G315" s="16"/>
      <c r="I315" s="289"/>
    </row>
    <row r="316" spans="2:11" ht="13.5" thickBot="1" x14ac:dyDescent="0.25">
      <c r="B316" s="45" t="s">
        <v>356</v>
      </c>
      <c r="C316" s="46"/>
      <c r="D316" s="47"/>
      <c r="E316" s="47"/>
      <c r="F316" s="47"/>
      <c r="G316" s="48"/>
      <c r="I316" s="289"/>
      <c r="J316" s="289"/>
      <c r="K316" s="289"/>
    </row>
    <row r="317" spans="2:11" ht="13.5" thickBot="1" x14ac:dyDescent="0.25">
      <c r="B317" s="26" t="s">
        <v>357</v>
      </c>
      <c r="C317" s="27" t="s">
        <v>358</v>
      </c>
      <c r="D317" s="12">
        <v>57000</v>
      </c>
      <c r="E317" s="12">
        <v>57000</v>
      </c>
      <c r="F317" s="12">
        <v>57000</v>
      </c>
      <c r="G317" s="12">
        <v>57000</v>
      </c>
      <c r="I317" s="289">
        <v>21100</v>
      </c>
      <c r="J317" s="289">
        <v>1</v>
      </c>
      <c r="K317" s="289">
        <v>47110</v>
      </c>
    </row>
    <row r="318" spans="2:11" x14ac:dyDescent="0.2">
      <c r="B318" s="24" t="s">
        <v>359</v>
      </c>
      <c r="C318" s="25" t="s">
        <v>360</v>
      </c>
      <c r="D318" s="17">
        <v>7000</v>
      </c>
      <c r="E318" s="17">
        <f>5593+189</f>
        <v>5782</v>
      </c>
      <c r="F318" s="17">
        <f>6587+189+213.18</f>
        <v>6989.18</v>
      </c>
      <c r="G318" s="17">
        <v>6624.18</v>
      </c>
      <c r="I318" s="289">
        <v>21100</v>
      </c>
      <c r="J318" s="289">
        <v>3001</v>
      </c>
      <c r="K318" s="289">
        <v>54040</v>
      </c>
    </row>
    <row r="319" spans="2:11" x14ac:dyDescent="0.2">
      <c r="B319" s="28" t="s">
        <v>361</v>
      </c>
      <c r="C319" s="29" t="s">
        <v>362</v>
      </c>
      <c r="D319" s="9">
        <v>40000</v>
      </c>
      <c r="E319" s="9">
        <v>1124.76</v>
      </c>
      <c r="F319" s="9">
        <f>4272.52+6704.39+4883.01</f>
        <v>15859.92</v>
      </c>
      <c r="G319" s="9">
        <v>10338.709999999999</v>
      </c>
      <c r="I319" s="289">
        <v>21100</v>
      </c>
      <c r="J319" s="289">
        <v>3001</v>
      </c>
      <c r="K319" s="289">
        <v>58999</v>
      </c>
    </row>
    <row r="320" spans="2:11" ht="13.5" thickBot="1" x14ac:dyDescent="0.25">
      <c r="B320" s="26" t="s">
        <v>363</v>
      </c>
      <c r="C320" s="27" t="s">
        <v>364</v>
      </c>
      <c r="D320" s="12">
        <v>10000</v>
      </c>
      <c r="E320" s="12">
        <f>623+750</f>
        <v>1373</v>
      </c>
      <c r="F320" s="12">
        <f>3248.76+475</f>
        <v>3723.76</v>
      </c>
      <c r="G320" s="12">
        <v>4813.46</v>
      </c>
      <c r="I320" s="289">
        <v>21100</v>
      </c>
      <c r="J320" s="289">
        <v>3001</v>
      </c>
      <c r="K320" s="289">
        <v>56100</v>
      </c>
    </row>
    <row r="321" spans="2:11" ht="13.5" thickBot="1" x14ac:dyDescent="0.25">
      <c r="C321" s="15" t="s">
        <v>337</v>
      </c>
      <c r="D321" s="42">
        <f t="shared" ref="D321:F321" si="25">+D317-D320-D318-D319</f>
        <v>0</v>
      </c>
      <c r="E321" s="42">
        <f t="shared" si="25"/>
        <v>48720.24</v>
      </c>
      <c r="F321" s="42">
        <f t="shared" si="25"/>
        <v>30427.14</v>
      </c>
      <c r="G321" s="42">
        <f t="shared" ref="G321" si="26">+G317-G320-G318-G319</f>
        <v>35223.65</v>
      </c>
      <c r="I321" s="289"/>
      <c r="J321" s="289"/>
      <c r="K321" s="289"/>
    </row>
    <row r="322" spans="2:11" ht="14.25" thickTop="1" thickBot="1" x14ac:dyDescent="0.25">
      <c r="D322" s="16"/>
      <c r="E322" s="16"/>
      <c r="F322" s="16"/>
      <c r="G322" s="16"/>
      <c r="I322" s="289"/>
    </row>
    <row r="323" spans="2:11" ht="13.5" thickBot="1" x14ac:dyDescent="0.25">
      <c r="B323" s="45" t="s">
        <v>365</v>
      </c>
      <c r="C323" s="46"/>
      <c r="D323" s="47"/>
      <c r="E323" s="47"/>
      <c r="F323" s="47"/>
      <c r="G323" s="48"/>
      <c r="I323" s="289"/>
      <c r="J323" s="289"/>
      <c r="K323" s="289"/>
    </row>
    <row r="324" spans="2:11" x14ac:dyDescent="0.2">
      <c r="B324" s="28" t="s">
        <v>366</v>
      </c>
      <c r="C324" s="29" t="s">
        <v>367</v>
      </c>
      <c r="D324" s="9">
        <v>3883</v>
      </c>
      <c r="E324" s="9">
        <v>0</v>
      </c>
      <c r="F324" s="9">
        <v>0</v>
      </c>
      <c r="G324" s="9">
        <v>0</v>
      </c>
      <c r="I324" s="289">
        <v>22300</v>
      </c>
      <c r="J324" s="289">
        <v>1</v>
      </c>
      <c r="K324" s="289">
        <v>47070</v>
      </c>
    </row>
    <row r="325" spans="2:11" ht="13.5" thickBot="1" x14ac:dyDescent="0.25">
      <c r="B325" s="78" t="s">
        <v>368</v>
      </c>
      <c r="C325" s="79" t="s">
        <v>369</v>
      </c>
      <c r="D325" s="49">
        <v>57</v>
      </c>
      <c r="E325" s="49">
        <v>0</v>
      </c>
      <c r="F325" s="49">
        <v>0</v>
      </c>
      <c r="G325" s="49">
        <v>0</v>
      </c>
      <c r="I325" s="289">
        <v>22300</v>
      </c>
      <c r="J325" s="289">
        <v>1</v>
      </c>
      <c r="K325" s="289">
        <v>61100</v>
      </c>
    </row>
    <row r="326" spans="2:11" x14ac:dyDescent="0.2">
      <c r="B326" s="24" t="s">
        <v>370</v>
      </c>
      <c r="C326" s="25" t="s">
        <v>134</v>
      </c>
      <c r="D326" s="17">
        <v>3883</v>
      </c>
      <c r="E326" s="17">
        <v>60.69</v>
      </c>
      <c r="F326" s="17">
        <v>60.69</v>
      </c>
      <c r="G326" s="17">
        <v>60.69</v>
      </c>
      <c r="I326" s="289">
        <v>22300</v>
      </c>
      <c r="J326" s="289">
        <v>3006</v>
      </c>
      <c r="K326" s="289">
        <v>51060</v>
      </c>
    </row>
    <row r="327" spans="2:11" x14ac:dyDescent="0.2">
      <c r="B327" s="28" t="s">
        <v>371</v>
      </c>
      <c r="C327" s="29" t="s">
        <v>58</v>
      </c>
      <c r="D327" s="9">
        <v>57</v>
      </c>
      <c r="E327" s="9">
        <v>0</v>
      </c>
      <c r="F327" s="9">
        <v>0</v>
      </c>
      <c r="G327" s="9">
        <v>0</v>
      </c>
      <c r="I327" s="289">
        <v>22300</v>
      </c>
      <c r="J327" s="289">
        <v>3006</v>
      </c>
      <c r="K327" s="289">
        <v>52010</v>
      </c>
    </row>
    <row r="328" spans="2:11" ht="13.5" thickBot="1" x14ac:dyDescent="0.25">
      <c r="B328" s="26" t="s">
        <v>372</v>
      </c>
      <c r="C328" s="27" t="s">
        <v>83</v>
      </c>
      <c r="D328" s="12">
        <v>0</v>
      </c>
      <c r="E328" s="12">
        <v>0</v>
      </c>
      <c r="F328" s="12">
        <v>0</v>
      </c>
      <c r="G328" s="12">
        <v>0</v>
      </c>
      <c r="I328" s="289">
        <v>22300</v>
      </c>
      <c r="J328" s="289">
        <v>3006</v>
      </c>
      <c r="K328" s="289">
        <v>52020</v>
      </c>
    </row>
    <row r="329" spans="2:11" ht="13.5" thickBot="1" x14ac:dyDescent="0.25">
      <c r="C329" s="15" t="s">
        <v>337</v>
      </c>
      <c r="D329" s="44">
        <f t="shared" ref="D329:F329" si="27">+D324+D325-D326-D327-D328</f>
        <v>0</v>
      </c>
      <c r="E329" s="44">
        <f t="shared" si="27"/>
        <v>-60.69</v>
      </c>
      <c r="F329" s="44">
        <f t="shared" si="27"/>
        <v>-60.69</v>
      </c>
      <c r="G329" s="44">
        <f t="shared" ref="G329" si="28">+G324+G325-G326-G327-G328</f>
        <v>-60.69</v>
      </c>
      <c r="I329" s="289"/>
      <c r="J329" s="289"/>
      <c r="K329" s="289"/>
    </row>
    <row r="330" spans="2:11" ht="14.25" thickTop="1" thickBot="1" x14ac:dyDescent="0.25">
      <c r="D330" s="16"/>
      <c r="E330" s="16"/>
      <c r="F330" s="16"/>
      <c r="G330" s="16"/>
      <c r="I330" s="289"/>
    </row>
    <row r="331" spans="2:11" ht="13.5" thickBot="1" x14ac:dyDescent="0.25">
      <c r="B331" s="45" t="s">
        <v>373</v>
      </c>
      <c r="C331" s="46"/>
      <c r="D331" s="47"/>
      <c r="E331" s="47"/>
      <c r="F331" s="47"/>
      <c r="G331" s="48"/>
      <c r="I331" s="289"/>
      <c r="J331" s="289"/>
      <c r="K331" s="289"/>
    </row>
    <row r="332" spans="2:11" x14ac:dyDescent="0.2">
      <c r="B332" s="28" t="s">
        <v>374</v>
      </c>
      <c r="C332" s="29" t="s">
        <v>375</v>
      </c>
      <c r="D332" s="9">
        <v>4008</v>
      </c>
      <c r="E332" s="76">
        <v>55.7</v>
      </c>
      <c r="F332" s="9">
        <v>188.05</v>
      </c>
      <c r="G332" s="9">
        <v>188.05</v>
      </c>
      <c r="I332" s="289">
        <v>22300</v>
      </c>
      <c r="J332" s="289">
        <v>1</v>
      </c>
      <c r="K332" s="289">
        <v>47170</v>
      </c>
    </row>
    <row r="333" spans="2:11" ht="13.5" thickBot="1" x14ac:dyDescent="0.25">
      <c r="B333" s="78" t="s">
        <v>376</v>
      </c>
      <c r="C333" s="79" t="s">
        <v>377</v>
      </c>
      <c r="D333" s="49">
        <v>59</v>
      </c>
      <c r="E333" s="287">
        <v>0</v>
      </c>
      <c r="F333" s="49">
        <v>0</v>
      </c>
      <c r="G333" s="49">
        <v>0</v>
      </c>
      <c r="I333" s="289">
        <v>22300</v>
      </c>
      <c r="J333" s="289">
        <v>1</v>
      </c>
      <c r="K333" s="289">
        <v>61100</v>
      </c>
    </row>
    <row r="334" spans="2:11" x14ac:dyDescent="0.2">
      <c r="B334" s="24" t="s">
        <v>378</v>
      </c>
      <c r="C334" s="25" t="s">
        <v>134</v>
      </c>
      <c r="D334" s="9">
        <v>4008</v>
      </c>
      <c r="E334" s="17">
        <v>243.73</v>
      </c>
      <c r="F334" s="17">
        <v>243.73</v>
      </c>
      <c r="G334" s="17">
        <v>243.73</v>
      </c>
      <c r="I334" s="289">
        <v>22300</v>
      </c>
      <c r="J334" s="289">
        <v>2002</v>
      </c>
      <c r="K334" s="289">
        <v>51060</v>
      </c>
    </row>
    <row r="335" spans="2:11" x14ac:dyDescent="0.2">
      <c r="B335" s="28" t="s">
        <v>379</v>
      </c>
      <c r="C335" s="29" t="s">
        <v>58</v>
      </c>
      <c r="D335" s="9">
        <v>59</v>
      </c>
      <c r="E335" s="9">
        <v>0</v>
      </c>
      <c r="F335" s="9">
        <v>0</v>
      </c>
      <c r="G335" s="9">
        <v>0</v>
      </c>
      <c r="I335" s="289">
        <v>22300</v>
      </c>
      <c r="J335" s="289">
        <v>2002</v>
      </c>
      <c r="K335" s="289">
        <v>52011</v>
      </c>
    </row>
    <row r="336" spans="2:11" ht="13.5" thickBot="1" x14ac:dyDescent="0.25">
      <c r="B336" s="26" t="s">
        <v>380</v>
      </c>
      <c r="C336" s="27" t="s">
        <v>83</v>
      </c>
      <c r="D336" s="12">
        <v>0</v>
      </c>
      <c r="E336" s="12">
        <v>0</v>
      </c>
      <c r="F336" s="12">
        <v>0</v>
      </c>
      <c r="G336" s="12">
        <v>0</v>
      </c>
      <c r="I336" s="289">
        <v>22300</v>
      </c>
      <c r="J336" s="289">
        <v>2002</v>
      </c>
      <c r="K336" s="289">
        <v>52020</v>
      </c>
    </row>
    <row r="337" spans="2:11" ht="13.5" thickBot="1" x14ac:dyDescent="0.25">
      <c r="C337" s="15" t="s">
        <v>337</v>
      </c>
      <c r="D337" s="44">
        <f t="shared" ref="D337:F337" si="29">+D332+D333-D334-D335-D336</f>
        <v>0</v>
      </c>
      <c r="E337" s="44">
        <f t="shared" si="29"/>
        <v>-188.02999999999997</v>
      </c>
      <c r="F337" s="44">
        <f t="shared" si="29"/>
        <v>-55.679999999999978</v>
      </c>
      <c r="G337" s="44">
        <f t="shared" ref="G337" si="30">+G332+G333-G334-G335-G336</f>
        <v>-55.679999999999978</v>
      </c>
      <c r="I337" s="289"/>
      <c r="J337" s="289"/>
      <c r="K337" s="289"/>
    </row>
    <row r="338" spans="2:11" ht="14.25" thickTop="1" thickBot="1" x14ac:dyDescent="0.25">
      <c r="D338" s="16"/>
      <c r="E338" s="16"/>
      <c r="F338" s="16"/>
      <c r="G338" s="16"/>
    </row>
    <row r="339" spans="2:11" ht="13.5" thickBot="1" x14ac:dyDescent="0.25">
      <c r="B339" s="45" t="s">
        <v>381</v>
      </c>
      <c r="C339" s="46"/>
      <c r="D339" s="47"/>
      <c r="E339" s="47"/>
      <c r="F339" s="47"/>
      <c r="G339" s="48"/>
      <c r="I339" s="289"/>
      <c r="J339" s="289"/>
      <c r="K339" s="289"/>
    </row>
    <row r="340" spans="2:11" ht="13.5" thickBot="1" x14ac:dyDescent="0.25">
      <c r="B340" s="28" t="s">
        <v>382</v>
      </c>
      <c r="C340" s="29" t="s">
        <v>383</v>
      </c>
      <c r="D340" s="9">
        <v>2500</v>
      </c>
      <c r="E340" s="12">
        <v>0</v>
      </c>
      <c r="F340" s="12">
        <v>0</v>
      </c>
      <c r="G340" s="12">
        <v>0</v>
      </c>
      <c r="I340" s="289">
        <v>59900</v>
      </c>
      <c r="J340" s="289">
        <v>1</v>
      </c>
      <c r="K340" s="289">
        <v>46050</v>
      </c>
    </row>
    <row r="341" spans="2:11" x14ac:dyDescent="0.2">
      <c r="B341" s="24" t="s">
        <v>915</v>
      </c>
      <c r="C341" s="25" t="s">
        <v>134</v>
      </c>
      <c r="D341" s="17">
        <v>2308.6999999999998</v>
      </c>
      <c r="E341" s="76">
        <v>0</v>
      </c>
      <c r="F341" s="17">
        <v>0</v>
      </c>
      <c r="G341" s="17">
        <v>0</v>
      </c>
      <c r="I341" s="289">
        <v>59900</v>
      </c>
      <c r="J341" s="289">
        <v>2002</v>
      </c>
      <c r="K341" s="289">
        <v>51060</v>
      </c>
    </row>
    <row r="342" spans="2:11" ht="13.5" thickBot="1" x14ac:dyDescent="0.25">
      <c r="B342" s="26" t="s">
        <v>916</v>
      </c>
      <c r="C342" s="27" t="s">
        <v>58</v>
      </c>
      <c r="D342" s="12">
        <v>191.3</v>
      </c>
      <c r="E342" s="317">
        <v>0</v>
      </c>
      <c r="F342" s="12">
        <v>0</v>
      </c>
      <c r="G342" s="12">
        <v>0</v>
      </c>
      <c r="I342" s="289">
        <v>59900</v>
      </c>
      <c r="J342" s="289">
        <v>2002</v>
      </c>
      <c r="K342" s="289">
        <v>52010</v>
      </c>
    </row>
    <row r="343" spans="2:11" ht="13.5" thickBot="1" x14ac:dyDescent="0.25">
      <c r="C343" s="15" t="s">
        <v>337</v>
      </c>
      <c r="D343" s="44">
        <f t="shared" ref="D343:F343" si="31">+D340-D341-D342</f>
        <v>0</v>
      </c>
      <c r="E343" s="44">
        <f t="shared" si="31"/>
        <v>0</v>
      </c>
      <c r="F343" s="44">
        <f t="shared" si="31"/>
        <v>0</v>
      </c>
      <c r="G343" s="44">
        <f t="shared" ref="G343" si="32">+G340-G341-G342</f>
        <v>0</v>
      </c>
      <c r="I343" s="289"/>
      <c r="J343" s="289"/>
      <c r="K343" s="289"/>
    </row>
    <row r="344" spans="2:11" ht="14.25" thickTop="1" thickBot="1" x14ac:dyDescent="0.25">
      <c r="C344" s="15"/>
      <c r="D344" s="16"/>
      <c r="E344" s="16"/>
      <c r="F344" s="16"/>
      <c r="G344" s="16"/>
      <c r="I344" s="289"/>
      <c r="J344" s="289"/>
      <c r="K344" s="289"/>
    </row>
    <row r="345" spans="2:11" ht="13.5" thickBot="1" x14ac:dyDescent="0.25">
      <c r="B345" s="98" t="s">
        <v>384</v>
      </c>
      <c r="C345" s="99"/>
      <c r="D345" s="311"/>
      <c r="E345" s="311"/>
      <c r="F345" s="311"/>
      <c r="G345" s="312"/>
      <c r="I345" s="289"/>
      <c r="J345" s="289"/>
      <c r="K345" s="289"/>
    </row>
    <row r="346" spans="2:11" ht="13.5" thickBot="1" x14ac:dyDescent="0.25">
      <c r="B346" s="51" t="s">
        <v>385</v>
      </c>
      <c r="C346" s="52"/>
      <c r="D346" s="318"/>
      <c r="E346" s="318"/>
      <c r="F346" s="318"/>
      <c r="G346" s="319"/>
      <c r="I346" s="289"/>
      <c r="J346" s="289"/>
      <c r="K346" s="289"/>
    </row>
    <row r="347" spans="2:11" ht="13.5" thickBot="1" x14ac:dyDescent="0.25">
      <c r="B347" s="10" t="s">
        <v>386</v>
      </c>
      <c r="C347" s="11" t="s">
        <v>387</v>
      </c>
      <c r="D347" s="12">
        <v>10040</v>
      </c>
      <c r="E347" s="12">
        <v>3325.35</v>
      </c>
      <c r="F347" s="12">
        <v>5654.8</v>
      </c>
      <c r="G347" s="12">
        <v>6908.45</v>
      </c>
      <c r="I347" s="289">
        <v>52400</v>
      </c>
      <c r="J347" s="289">
        <v>1</v>
      </c>
      <c r="K347" s="289">
        <v>45040</v>
      </c>
    </row>
    <row r="348" spans="2:11" ht="13.5" thickBot="1" x14ac:dyDescent="0.25">
      <c r="B348" s="26" t="s">
        <v>388</v>
      </c>
      <c r="C348" s="27" t="s">
        <v>389</v>
      </c>
      <c r="D348" s="43">
        <v>10040</v>
      </c>
      <c r="E348" s="43">
        <v>819.97</v>
      </c>
      <c r="F348" s="43">
        <v>3974.47</v>
      </c>
      <c r="G348" s="43">
        <v>3974.47</v>
      </c>
      <c r="I348" s="289">
        <v>52400</v>
      </c>
      <c r="J348" s="289">
        <v>4004</v>
      </c>
      <c r="K348" s="289">
        <v>58999</v>
      </c>
    </row>
    <row r="349" spans="2:11" ht="13.5" thickBot="1" x14ac:dyDescent="0.25">
      <c r="C349" s="15" t="s">
        <v>337</v>
      </c>
      <c r="D349" s="44">
        <f t="shared" ref="D349:F349" si="33">+D347-D348</f>
        <v>0</v>
      </c>
      <c r="E349" s="44">
        <f t="shared" si="33"/>
        <v>2505.38</v>
      </c>
      <c r="F349" s="44">
        <f t="shared" si="33"/>
        <v>1680.3300000000004</v>
      </c>
      <c r="G349" s="44">
        <f t="shared" ref="G349" si="34">+G347-G348</f>
        <v>2933.98</v>
      </c>
      <c r="I349" s="289"/>
      <c r="J349" s="289"/>
      <c r="K349" s="289"/>
    </row>
    <row r="350" spans="2:11" ht="14.25" thickTop="1" thickBot="1" x14ac:dyDescent="0.25">
      <c r="D350" s="16"/>
      <c r="E350" s="16"/>
      <c r="F350" s="16"/>
      <c r="G350" s="16"/>
      <c r="I350" s="289"/>
    </row>
    <row r="351" spans="2:11" ht="13.5" thickBot="1" x14ac:dyDescent="0.25">
      <c r="B351" s="51" t="s">
        <v>390</v>
      </c>
      <c r="C351" s="52"/>
      <c r="D351" s="318"/>
      <c r="E351" s="318"/>
      <c r="F351" s="318"/>
      <c r="G351" s="401"/>
      <c r="I351" s="289"/>
    </row>
    <row r="352" spans="2:11" ht="13.5" thickBot="1" x14ac:dyDescent="0.25">
      <c r="B352" s="10" t="s">
        <v>391</v>
      </c>
      <c r="C352" s="56" t="s">
        <v>897</v>
      </c>
      <c r="D352" s="12">
        <v>9396</v>
      </c>
      <c r="E352" s="33">
        <v>9396</v>
      </c>
      <c r="F352" s="12">
        <v>9396</v>
      </c>
      <c r="G352" s="12">
        <v>9396</v>
      </c>
      <c r="I352" s="289">
        <v>52400</v>
      </c>
      <c r="J352" s="23">
        <v>1</v>
      </c>
      <c r="K352" s="23">
        <v>10101</v>
      </c>
    </row>
    <row r="353" spans="2:11" x14ac:dyDescent="0.2">
      <c r="B353" s="7" t="s">
        <v>392</v>
      </c>
      <c r="C353" s="31" t="s">
        <v>393</v>
      </c>
      <c r="D353" s="9">
        <v>92.95</v>
      </c>
      <c r="E353" s="283">
        <v>92.95</v>
      </c>
      <c r="F353" s="9">
        <v>92.95</v>
      </c>
      <c r="G353" s="9">
        <v>92.95</v>
      </c>
      <c r="I353" s="289">
        <v>52400</v>
      </c>
      <c r="J353" s="23">
        <v>4004</v>
      </c>
      <c r="K353" s="23">
        <v>52010</v>
      </c>
    </row>
    <row r="354" spans="2:11" x14ac:dyDescent="0.2">
      <c r="B354" s="7" t="s">
        <v>394</v>
      </c>
      <c r="C354" s="8" t="s">
        <v>395</v>
      </c>
      <c r="D354" s="9">
        <v>18.29</v>
      </c>
      <c r="E354" s="283">
        <v>18.29</v>
      </c>
      <c r="F354" s="9">
        <v>18.29</v>
      </c>
      <c r="G354" s="9">
        <v>18.29</v>
      </c>
      <c r="I354" s="289">
        <v>52400</v>
      </c>
      <c r="J354" s="23">
        <v>4004</v>
      </c>
      <c r="K354" s="23">
        <v>52090</v>
      </c>
    </row>
    <row r="355" spans="2:11" x14ac:dyDescent="0.2">
      <c r="B355" s="7" t="s">
        <v>396</v>
      </c>
      <c r="C355" s="8" t="s">
        <v>397</v>
      </c>
      <c r="D355" s="9">
        <v>257.70999999999998</v>
      </c>
      <c r="E355" s="283">
        <v>257.41000000000003</v>
      </c>
      <c r="F355" s="9">
        <v>257.41000000000003</v>
      </c>
      <c r="G355" s="9">
        <v>257.41000000000003</v>
      </c>
      <c r="I355" s="289">
        <v>52400</v>
      </c>
      <c r="J355" s="23">
        <v>4004</v>
      </c>
      <c r="K355" s="23">
        <v>52020</v>
      </c>
    </row>
    <row r="356" spans="2:11" ht="13.5" thickBot="1" x14ac:dyDescent="0.25">
      <c r="B356" s="10" t="s">
        <v>398</v>
      </c>
      <c r="C356" s="11" t="s">
        <v>399</v>
      </c>
      <c r="D356" s="12">
        <v>9027.0499999999993</v>
      </c>
      <c r="E356" s="33">
        <v>9098.99</v>
      </c>
      <c r="F356" s="12">
        <v>9027.35</v>
      </c>
      <c r="G356" s="12">
        <v>9027.35</v>
      </c>
      <c r="I356" s="289">
        <v>52400</v>
      </c>
      <c r="J356" s="23">
        <v>4004</v>
      </c>
      <c r="K356" s="23">
        <v>57060</v>
      </c>
    </row>
    <row r="357" spans="2:11" ht="13.5" thickBot="1" x14ac:dyDescent="0.25">
      <c r="C357" s="15" t="s">
        <v>337</v>
      </c>
      <c r="D357" s="42">
        <f t="shared" ref="D357:F357" si="35">D352-D356-D353-D354-D355</f>
        <v>7.3896444519050419E-13</v>
      </c>
      <c r="E357" s="42">
        <f t="shared" si="35"/>
        <v>-71.639999999999787</v>
      </c>
      <c r="F357" s="42">
        <f t="shared" si="35"/>
        <v>0</v>
      </c>
      <c r="G357" s="42">
        <f t="shared" ref="G357" si="36">G352-G356-G353-G354-G355</f>
        <v>0</v>
      </c>
      <c r="I357" s="289"/>
    </row>
    <row r="358" spans="2:11" ht="14.25" thickTop="1" thickBot="1" x14ac:dyDescent="0.25">
      <c r="D358" s="16"/>
      <c r="E358" s="16"/>
      <c r="F358" s="16"/>
      <c r="G358" s="16"/>
      <c r="I358" s="289"/>
    </row>
    <row r="359" spans="2:11" ht="13.5" thickBot="1" x14ac:dyDescent="0.25">
      <c r="B359" s="51" t="s">
        <v>400</v>
      </c>
      <c r="C359" s="52"/>
      <c r="D359" s="318"/>
      <c r="E359" s="318"/>
      <c r="F359" s="318"/>
      <c r="G359" s="319"/>
      <c r="I359" s="289"/>
      <c r="J359" s="289"/>
      <c r="K359" s="289"/>
    </row>
    <row r="360" spans="2:11" ht="13.5" thickBot="1" x14ac:dyDescent="0.25">
      <c r="B360" s="10" t="s">
        <v>401</v>
      </c>
      <c r="C360" s="11" t="s">
        <v>402</v>
      </c>
      <c r="D360" s="12">
        <v>10255</v>
      </c>
      <c r="E360" s="12">
        <v>0</v>
      </c>
      <c r="F360" s="12">
        <v>0</v>
      </c>
      <c r="G360" s="12">
        <v>10254.73</v>
      </c>
      <c r="I360" s="289">
        <v>52400</v>
      </c>
      <c r="J360" s="289">
        <v>1</v>
      </c>
      <c r="K360" s="289">
        <v>46060</v>
      </c>
    </row>
    <row r="361" spans="2:11" ht="13.5" thickBot="1" x14ac:dyDescent="0.25">
      <c r="B361" s="53" t="s">
        <v>403</v>
      </c>
      <c r="C361" s="54" t="s">
        <v>389</v>
      </c>
      <c r="D361" s="43">
        <v>10255</v>
      </c>
      <c r="E361" s="317">
        <v>0</v>
      </c>
      <c r="F361" s="43">
        <v>65.61</v>
      </c>
      <c r="G361" s="43">
        <v>65.61</v>
      </c>
      <c r="I361" s="289">
        <v>52400</v>
      </c>
      <c r="J361" s="289">
        <v>4004</v>
      </c>
      <c r="K361" s="289">
        <v>57060</v>
      </c>
    </row>
    <row r="362" spans="2:11" ht="13.5" thickBot="1" x14ac:dyDescent="0.25">
      <c r="C362" s="15" t="s">
        <v>337</v>
      </c>
      <c r="D362" s="42">
        <f>D360-D361</f>
        <v>0</v>
      </c>
      <c r="E362" s="42">
        <f t="shared" ref="E362:F362" si="37">E360-E361</f>
        <v>0</v>
      </c>
      <c r="F362" s="42">
        <f t="shared" si="37"/>
        <v>-65.61</v>
      </c>
      <c r="G362" s="42">
        <f t="shared" ref="G362" si="38">G360-G361</f>
        <v>10189.119999999999</v>
      </c>
      <c r="I362" s="289"/>
      <c r="J362" s="289"/>
      <c r="K362" s="289"/>
    </row>
    <row r="363" spans="2:11" ht="14.25" thickTop="1" thickBot="1" x14ac:dyDescent="0.25">
      <c r="B363" s="55"/>
      <c r="C363" s="32"/>
      <c r="D363" s="16"/>
      <c r="E363" s="16"/>
      <c r="F363" s="16"/>
      <c r="G363" s="16"/>
      <c r="I363" s="289"/>
      <c r="J363" s="293"/>
      <c r="K363" s="293"/>
    </row>
    <row r="364" spans="2:11" ht="13.5" thickBot="1" x14ac:dyDescent="0.25">
      <c r="B364" s="51" t="s">
        <v>404</v>
      </c>
      <c r="C364" s="52"/>
      <c r="D364" s="318"/>
      <c r="E364" s="318"/>
      <c r="F364" s="318"/>
      <c r="G364" s="319"/>
      <c r="I364" s="289"/>
      <c r="J364" s="289"/>
      <c r="K364" s="289"/>
    </row>
    <row r="365" spans="2:11" x14ac:dyDescent="0.2">
      <c r="B365" s="7" t="s">
        <v>405</v>
      </c>
      <c r="C365" s="31" t="s">
        <v>896</v>
      </c>
      <c r="D365" s="9">
        <v>14546</v>
      </c>
      <c r="E365" s="18">
        <v>14546</v>
      </c>
      <c r="F365" s="9">
        <v>14546</v>
      </c>
      <c r="G365" s="76">
        <v>14546</v>
      </c>
      <c r="I365" s="289">
        <v>52400</v>
      </c>
      <c r="J365" s="289">
        <v>1</v>
      </c>
      <c r="K365" s="289">
        <v>46060</v>
      </c>
    </row>
    <row r="366" spans="2:11" ht="13.5" thickBot="1" x14ac:dyDescent="0.25">
      <c r="B366" s="81" t="s">
        <v>895</v>
      </c>
      <c r="C366" s="82" t="s">
        <v>894</v>
      </c>
      <c r="D366" s="49">
        <v>700</v>
      </c>
      <c r="E366" s="410">
        <v>0</v>
      </c>
      <c r="F366" s="49">
        <v>0</v>
      </c>
      <c r="G366" s="287">
        <v>662.76</v>
      </c>
      <c r="I366" s="289"/>
      <c r="J366" s="289"/>
      <c r="K366" s="289"/>
    </row>
    <row r="367" spans="2:11" ht="13.5" thickBot="1" x14ac:dyDescent="0.25">
      <c r="B367" s="10" t="s">
        <v>407</v>
      </c>
      <c r="C367" s="11" t="s">
        <v>406</v>
      </c>
      <c r="D367" s="33">
        <v>14546</v>
      </c>
      <c r="E367" s="12">
        <v>8744.7000000000007</v>
      </c>
      <c r="F367" s="12">
        <f>13036.92+2170.39</f>
        <v>15207.31</v>
      </c>
      <c r="G367" s="12">
        <v>13057.36</v>
      </c>
      <c r="I367" s="289">
        <v>52400</v>
      </c>
      <c r="J367" s="289">
        <v>4004</v>
      </c>
      <c r="K367" s="289">
        <v>57060</v>
      </c>
    </row>
    <row r="368" spans="2:11" ht="13.5" thickBot="1" x14ac:dyDescent="0.25">
      <c r="C368" s="15" t="s">
        <v>337</v>
      </c>
      <c r="D368" s="42">
        <f t="shared" ref="D368:F368" si="39">D365-D367</f>
        <v>0</v>
      </c>
      <c r="E368" s="42">
        <f t="shared" si="39"/>
        <v>5801.2999999999993</v>
      </c>
      <c r="F368" s="42">
        <f t="shared" si="39"/>
        <v>-661.30999999999949</v>
      </c>
      <c r="G368" s="42">
        <f>G365-G367+G366</f>
        <v>2151.3999999999996</v>
      </c>
      <c r="I368" s="289"/>
      <c r="J368" s="289"/>
      <c r="K368" s="289"/>
    </row>
    <row r="369" spans="2:13" ht="14.25" thickTop="1" thickBot="1" x14ac:dyDescent="0.25">
      <c r="B369" s="55"/>
      <c r="C369" s="32"/>
      <c r="D369" s="16"/>
      <c r="E369" s="16"/>
      <c r="F369" s="16"/>
      <c r="G369" s="16"/>
      <c r="I369" s="289"/>
      <c r="J369" s="293"/>
      <c r="K369" s="293"/>
    </row>
    <row r="370" spans="2:13" ht="13.5" thickBot="1" x14ac:dyDescent="0.25">
      <c r="B370" s="51" t="s">
        <v>408</v>
      </c>
      <c r="C370" s="52"/>
      <c r="D370" s="318"/>
      <c r="E370" s="318"/>
      <c r="F370" s="318"/>
      <c r="G370" s="319"/>
      <c r="I370" s="289"/>
      <c r="J370" s="289"/>
      <c r="K370" s="289"/>
    </row>
    <row r="371" spans="2:13" ht="13.5" thickBot="1" x14ac:dyDescent="0.25">
      <c r="B371" s="26" t="s">
        <v>409</v>
      </c>
      <c r="C371" s="27" t="s">
        <v>410</v>
      </c>
      <c r="D371" s="9">
        <v>21450.83</v>
      </c>
      <c r="E371" s="76">
        <v>13152.56</v>
      </c>
      <c r="F371" s="12">
        <v>13152.56</v>
      </c>
      <c r="G371" s="12">
        <v>13152.56</v>
      </c>
      <c r="I371" s="289">
        <v>52400</v>
      </c>
      <c r="J371" s="289">
        <v>1</v>
      </c>
      <c r="K371" s="289">
        <v>46060</v>
      </c>
    </row>
    <row r="372" spans="2:13" ht="13.5" thickBot="1" x14ac:dyDescent="0.25">
      <c r="B372" s="37" t="s">
        <v>411</v>
      </c>
      <c r="C372" s="38" t="s">
        <v>389</v>
      </c>
      <c r="D372" s="43">
        <v>21450.83</v>
      </c>
      <c r="E372" s="43">
        <f>6017.39+3000</f>
        <v>9017.39</v>
      </c>
      <c r="F372" s="43">
        <f>7017.39+5678.61</f>
        <v>12696</v>
      </c>
      <c r="G372" s="43">
        <v>10696</v>
      </c>
      <c r="I372" s="289">
        <v>52400</v>
      </c>
      <c r="J372" s="289">
        <v>4004</v>
      </c>
      <c r="K372" s="289">
        <v>57060</v>
      </c>
    </row>
    <row r="373" spans="2:13" ht="13.5" thickBot="1" x14ac:dyDescent="0.25">
      <c r="C373" s="15" t="s">
        <v>337</v>
      </c>
      <c r="D373" s="42">
        <f t="shared" ref="D373:F373" si="40">+D371-D372</f>
        <v>0</v>
      </c>
      <c r="E373" s="42">
        <f t="shared" si="40"/>
        <v>4135.17</v>
      </c>
      <c r="F373" s="42">
        <f t="shared" si="40"/>
        <v>456.55999999999949</v>
      </c>
      <c r="G373" s="42">
        <f t="shared" ref="G373" si="41">+G371-G372</f>
        <v>2456.5599999999995</v>
      </c>
      <c r="I373" s="289"/>
      <c r="J373" s="289"/>
      <c r="K373" s="289"/>
    </row>
    <row r="374" spans="2:13" ht="14.25" thickTop="1" thickBot="1" x14ac:dyDescent="0.25">
      <c r="D374" s="16"/>
      <c r="E374" s="16"/>
      <c r="F374" s="16"/>
      <c r="G374" s="16"/>
      <c r="I374" s="290"/>
      <c r="J374" s="290"/>
      <c r="K374" s="290"/>
    </row>
    <row r="375" spans="2:13" ht="13.5" thickBot="1" x14ac:dyDescent="0.25">
      <c r="B375" s="51" t="s">
        <v>412</v>
      </c>
      <c r="C375" s="52"/>
      <c r="D375" s="318"/>
      <c r="E375" s="318"/>
      <c r="F375" s="318"/>
      <c r="G375" s="319"/>
      <c r="I375" s="289"/>
      <c r="J375" s="289"/>
      <c r="K375" s="289"/>
    </row>
    <row r="376" spans="2:13" x14ac:dyDescent="0.2">
      <c r="B376" s="28" t="s">
        <v>413</v>
      </c>
      <c r="C376" s="29" t="s">
        <v>414</v>
      </c>
      <c r="D376" s="283">
        <v>8777.48</v>
      </c>
      <c r="E376" s="9">
        <v>1462.88</v>
      </c>
      <c r="F376" s="9">
        <v>1462.88</v>
      </c>
      <c r="G376" s="9">
        <v>1462.88</v>
      </c>
      <c r="I376" s="289">
        <v>52400</v>
      </c>
      <c r="J376" s="289">
        <v>1</v>
      </c>
      <c r="K376" s="289">
        <v>46060</v>
      </c>
    </row>
    <row r="377" spans="2:13" ht="13.5" thickBot="1" x14ac:dyDescent="0.25">
      <c r="B377" s="78" t="s">
        <v>415</v>
      </c>
      <c r="C377" s="79" t="s">
        <v>416</v>
      </c>
      <c r="D377" s="320">
        <v>975.28</v>
      </c>
      <c r="E377" s="49">
        <v>162.54</v>
      </c>
      <c r="F377" s="49">
        <v>568.91</v>
      </c>
      <c r="G377" s="49">
        <v>731.46</v>
      </c>
      <c r="I377" s="289">
        <v>52400</v>
      </c>
      <c r="J377" s="289">
        <v>1</v>
      </c>
      <c r="K377" s="289">
        <v>61100</v>
      </c>
    </row>
    <row r="378" spans="2:13" ht="13.5" thickBot="1" x14ac:dyDescent="0.25">
      <c r="B378" s="10" t="s">
        <v>417</v>
      </c>
      <c r="C378" s="56" t="s">
        <v>418</v>
      </c>
      <c r="D378" s="12">
        <v>9752.76</v>
      </c>
      <c r="E378" s="317">
        <v>3250.92</v>
      </c>
      <c r="F378" s="43">
        <v>5689.11</v>
      </c>
      <c r="G378" s="43">
        <v>7314.57</v>
      </c>
      <c r="I378" s="289">
        <v>52400</v>
      </c>
      <c r="J378" s="289">
        <v>4004</v>
      </c>
      <c r="K378" s="289">
        <v>57060</v>
      </c>
      <c r="M378" s="335"/>
    </row>
    <row r="379" spans="2:13" ht="13.5" thickBot="1" x14ac:dyDescent="0.25">
      <c r="C379" s="15" t="s">
        <v>337</v>
      </c>
      <c r="D379" s="44">
        <f>+D376+D377-D378</f>
        <v>0</v>
      </c>
      <c r="E379" s="44">
        <f>+E376+E377-E378</f>
        <v>-1625.5</v>
      </c>
      <c r="F379" s="44">
        <f>+F376+F377-F378</f>
        <v>-3657.3199999999997</v>
      </c>
      <c r="G379" s="44">
        <f>+G376+G377-G378</f>
        <v>-5120.2299999999996</v>
      </c>
      <c r="I379" s="289"/>
      <c r="J379" s="289"/>
      <c r="K379" s="289"/>
    </row>
    <row r="380" spans="2:13" ht="14.25" thickTop="1" thickBot="1" x14ac:dyDescent="0.25">
      <c r="C380" s="15"/>
      <c r="D380" s="16"/>
      <c r="E380" s="16"/>
      <c r="F380" s="16"/>
      <c r="G380" s="16"/>
      <c r="I380" s="289"/>
      <c r="J380" s="289"/>
      <c r="K380" s="289"/>
    </row>
    <row r="381" spans="2:13" ht="13.5" thickBot="1" x14ac:dyDescent="0.25">
      <c r="B381" s="98" t="s">
        <v>419</v>
      </c>
      <c r="C381" s="99"/>
      <c r="D381" s="311"/>
      <c r="E381" s="311"/>
      <c r="F381" s="311"/>
      <c r="G381" s="312"/>
      <c r="I381" s="289"/>
      <c r="J381" s="289"/>
      <c r="K381" s="289"/>
    </row>
    <row r="382" spans="2:13" ht="13.5" thickBot="1" x14ac:dyDescent="0.25">
      <c r="B382" s="57" t="s">
        <v>961</v>
      </c>
      <c r="C382" s="58"/>
      <c r="D382" s="321"/>
      <c r="E382" s="321"/>
      <c r="F382" s="321"/>
      <c r="G382" s="322"/>
    </row>
    <row r="383" spans="2:13" ht="13.5" thickBot="1" x14ac:dyDescent="0.25">
      <c r="B383" s="78" t="s">
        <v>962</v>
      </c>
      <c r="C383" s="79" t="s">
        <v>963</v>
      </c>
      <c r="D383" s="49">
        <v>312300</v>
      </c>
      <c r="E383" s="49">
        <v>0</v>
      </c>
      <c r="F383" s="49"/>
      <c r="G383" s="49">
        <v>312300</v>
      </c>
      <c r="I383" s="289">
        <v>59900</v>
      </c>
      <c r="J383" s="289">
        <v>1</v>
      </c>
      <c r="K383" s="289">
        <v>61100</v>
      </c>
    </row>
    <row r="384" spans="2:13" s="21" customFormat="1" ht="13.5" thickBot="1" x14ac:dyDescent="0.25">
      <c r="B384" s="26" t="s">
        <v>964</v>
      </c>
      <c r="C384" s="34" t="s">
        <v>965</v>
      </c>
      <c r="D384" s="12">
        <v>280300</v>
      </c>
      <c r="E384" s="12">
        <v>0</v>
      </c>
      <c r="F384" s="12">
        <v>0</v>
      </c>
      <c r="G384" s="12">
        <v>0</v>
      </c>
      <c r="H384" s="468"/>
      <c r="I384" s="292"/>
      <c r="J384" s="292"/>
      <c r="K384" s="292"/>
    </row>
    <row r="385" spans="2:11" ht="13.5" thickBot="1" x14ac:dyDescent="0.25">
      <c r="B385" s="37" t="s">
        <v>966</v>
      </c>
      <c r="C385" s="38" t="s">
        <v>967</v>
      </c>
      <c r="D385" s="43">
        <v>32000</v>
      </c>
      <c r="E385" s="43">
        <v>0</v>
      </c>
      <c r="F385" s="43">
        <v>0</v>
      </c>
      <c r="G385" s="43">
        <v>0</v>
      </c>
      <c r="I385" s="289">
        <v>59900</v>
      </c>
      <c r="J385" s="289">
        <v>2002</v>
      </c>
      <c r="K385" s="289">
        <v>55999</v>
      </c>
    </row>
    <row r="386" spans="2:11" ht="13.5" thickBot="1" x14ac:dyDescent="0.25">
      <c r="D386" s="42">
        <f>+D383-D385</f>
        <v>280300</v>
      </c>
      <c r="E386" s="42">
        <f>+E383-E385</f>
        <v>0</v>
      </c>
      <c r="F386" s="42">
        <f>+F383-F385</f>
        <v>0</v>
      </c>
      <c r="G386" s="42" t="s">
        <v>930</v>
      </c>
    </row>
    <row r="387" spans="2:11" ht="14.25" thickTop="1" thickBot="1" x14ac:dyDescent="0.25">
      <c r="D387" s="18"/>
      <c r="E387" s="18"/>
      <c r="F387" s="18"/>
      <c r="G387" s="18"/>
    </row>
    <row r="388" spans="2:11" ht="13.5" thickBot="1" x14ac:dyDescent="0.25">
      <c r="B388" s="57" t="s">
        <v>429</v>
      </c>
      <c r="C388" s="58"/>
      <c r="D388" s="321"/>
      <c r="E388" s="321"/>
      <c r="F388" s="321"/>
      <c r="G388" s="322"/>
    </row>
    <row r="389" spans="2:11" ht="13.5" thickBot="1" x14ac:dyDescent="0.25">
      <c r="B389" s="78" t="s">
        <v>430</v>
      </c>
      <c r="C389" s="79" t="s">
        <v>431</v>
      </c>
      <c r="D389" s="49">
        <v>10000</v>
      </c>
      <c r="E389" s="49">
        <v>0</v>
      </c>
      <c r="F389" s="49">
        <v>10000</v>
      </c>
      <c r="G389" s="49">
        <v>10000</v>
      </c>
      <c r="I389" s="289">
        <v>59900</v>
      </c>
      <c r="J389" s="289">
        <v>1</v>
      </c>
      <c r="K389" s="289">
        <v>61100</v>
      </c>
    </row>
    <row r="390" spans="2:11" ht="13.5" thickBot="1" x14ac:dyDescent="0.25">
      <c r="B390" s="37" t="s">
        <v>749</v>
      </c>
      <c r="C390" s="38" t="s">
        <v>431</v>
      </c>
      <c r="D390" s="43">
        <v>10000</v>
      </c>
      <c r="E390" s="43">
        <v>0</v>
      </c>
      <c r="F390" s="43">
        <v>0</v>
      </c>
      <c r="G390" s="43">
        <v>10000</v>
      </c>
      <c r="I390" s="289">
        <v>59900</v>
      </c>
      <c r="J390" s="289">
        <v>2002</v>
      </c>
      <c r="K390" s="289">
        <v>55999</v>
      </c>
    </row>
    <row r="391" spans="2:11" ht="13.5" thickBot="1" x14ac:dyDescent="0.25">
      <c r="D391" s="42">
        <f>+D389-D390</f>
        <v>0</v>
      </c>
      <c r="E391" s="42">
        <f>+E389-E390</f>
        <v>0</v>
      </c>
      <c r="F391" s="42">
        <f>+F389-F390</f>
        <v>10000</v>
      </c>
      <c r="G391" s="42">
        <f>+G389-G390</f>
        <v>0</v>
      </c>
    </row>
    <row r="392" spans="2:11" ht="14.25" thickTop="1" thickBot="1" x14ac:dyDescent="0.25">
      <c r="D392" s="18"/>
      <c r="E392" s="18"/>
      <c r="F392" s="18"/>
      <c r="G392" s="18"/>
    </row>
    <row r="393" spans="2:11" ht="13.5" thickBot="1" x14ac:dyDescent="0.25">
      <c r="B393" s="57" t="s">
        <v>420</v>
      </c>
      <c r="C393" s="58"/>
      <c r="D393" s="321"/>
      <c r="E393" s="321"/>
      <c r="F393" s="321"/>
      <c r="G393" s="322"/>
      <c r="I393" s="289"/>
      <c r="J393" s="289"/>
      <c r="K393" s="289"/>
    </row>
    <row r="394" spans="2:11" ht="13.5" thickBot="1" x14ac:dyDescent="0.25">
      <c r="B394" s="26" t="s">
        <v>421</v>
      </c>
      <c r="C394" s="27" t="s">
        <v>422</v>
      </c>
      <c r="D394" s="12">
        <v>47100</v>
      </c>
      <c r="E394" s="76">
        <v>4718</v>
      </c>
      <c r="F394" s="12">
        <v>47014.71</v>
      </c>
      <c r="G394" s="12">
        <v>47014.71</v>
      </c>
      <c r="I394" s="294">
        <v>50700</v>
      </c>
      <c r="J394" s="294">
        <v>1</v>
      </c>
      <c r="K394" s="294">
        <v>43900</v>
      </c>
    </row>
    <row r="395" spans="2:11" ht="13.5" thickBot="1" x14ac:dyDescent="0.25">
      <c r="B395" s="26" t="s">
        <v>423</v>
      </c>
      <c r="C395" s="27" t="s">
        <v>422</v>
      </c>
      <c r="D395" s="43">
        <v>47100</v>
      </c>
      <c r="E395" s="43">
        <v>0</v>
      </c>
      <c r="F395" s="43">
        <f>9276.72+37162.51</f>
        <v>46439.23</v>
      </c>
      <c r="G395" s="43">
        <v>16145.81</v>
      </c>
      <c r="I395" s="294">
        <v>50700</v>
      </c>
      <c r="J395" s="294">
        <v>2002</v>
      </c>
      <c r="K395" s="294">
        <v>55999</v>
      </c>
    </row>
    <row r="396" spans="2:11" ht="13.5" thickBot="1" x14ac:dyDescent="0.25">
      <c r="D396" s="42">
        <f t="shared" ref="D396:F396" si="42">+D394-D395</f>
        <v>0</v>
      </c>
      <c r="E396" s="42">
        <f t="shared" si="42"/>
        <v>4718</v>
      </c>
      <c r="F396" s="42">
        <f t="shared" si="42"/>
        <v>575.47999999999593</v>
      </c>
      <c r="G396" s="42">
        <f t="shared" ref="G396" si="43">+G394-G395</f>
        <v>30868.9</v>
      </c>
      <c r="I396" s="289"/>
      <c r="J396" s="289"/>
      <c r="K396" s="289"/>
    </row>
    <row r="397" spans="2:11" ht="14.25" thickTop="1" thickBot="1" x14ac:dyDescent="0.25">
      <c r="D397" s="18"/>
      <c r="E397" s="18"/>
      <c r="F397" s="18"/>
      <c r="G397" s="18"/>
    </row>
    <row r="398" spans="2:11" ht="13.5" thickBot="1" x14ac:dyDescent="0.25">
      <c r="B398" s="57" t="s">
        <v>432</v>
      </c>
      <c r="C398" s="58"/>
      <c r="D398" s="321"/>
      <c r="E398" s="321"/>
      <c r="F398" s="321"/>
      <c r="G398" s="322"/>
    </row>
    <row r="399" spans="2:11" ht="13.5" thickBot="1" x14ac:dyDescent="0.25">
      <c r="B399" s="407" t="s">
        <v>433</v>
      </c>
      <c r="C399" s="408" t="s">
        <v>434</v>
      </c>
      <c r="D399" s="91">
        <v>150000</v>
      </c>
      <c r="E399" s="91">
        <v>150000</v>
      </c>
      <c r="F399" s="409">
        <v>150000</v>
      </c>
      <c r="G399" s="91">
        <v>150000</v>
      </c>
      <c r="I399" s="289">
        <v>50200</v>
      </c>
      <c r="J399" s="289">
        <v>1</v>
      </c>
      <c r="K399" s="289">
        <v>50200</v>
      </c>
    </row>
    <row r="400" spans="2:11" x14ac:dyDescent="0.2">
      <c r="B400" s="28" t="s">
        <v>435</v>
      </c>
      <c r="C400" s="29" t="s">
        <v>434</v>
      </c>
      <c r="D400" s="9">
        <v>129000</v>
      </c>
      <c r="E400" s="9">
        <v>0</v>
      </c>
      <c r="F400" s="9">
        <v>125060.04</v>
      </c>
      <c r="G400" s="9">
        <v>26708.28</v>
      </c>
      <c r="I400" s="289">
        <v>50200</v>
      </c>
      <c r="J400" s="289">
        <v>2002</v>
      </c>
      <c r="K400" s="289">
        <v>57999</v>
      </c>
    </row>
    <row r="401" spans="2:12" ht="13.5" thickBot="1" x14ac:dyDescent="0.25">
      <c r="B401" s="26" t="s">
        <v>436</v>
      </c>
      <c r="C401" s="27" t="s">
        <v>121</v>
      </c>
      <c r="D401" s="12">
        <v>21000</v>
      </c>
      <c r="E401" s="12">
        <f>3592.39+16666</f>
        <v>20258.39</v>
      </c>
      <c r="F401" s="12">
        <f>7184.77+13073.64</f>
        <v>20258.41</v>
      </c>
      <c r="G401" s="12">
        <v>10777.16</v>
      </c>
      <c r="I401" s="289">
        <v>50200</v>
      </c>
      <c r="J401" s="289">
        <v>2002</v>
      </c>
      <c r="K401" s="289">
        <v>55999</v>
      </c>
    </row>
    <row r="402" spans="2:12" ht="13.5" thickBot="1" x14ac:dyDescent="0.25">
      <c r="D402" s="42">
        <f t="shared" ref="D402:F402" si="44">+D399-D400-D401</f>
        <v>0</v>
      </c>
      <c r="E402" s="42">
        <f t="shared" si="44"/>
        <v>129741.61</v>
      </c>
      <c r="F402" s="42">
        <f t="shared" si="44"/>
        <v>4681.5500000000065</v>
      </c>
      <c r="G402" s="42">
        <f t="shared" ref="G402" si="45">+G399-G400-G401</f>
        <v>112514.56</v>
      </c>
      <c r="I402" s="289"/>
      <c r="J402" s="289"/>
      <c r="K402" s="289"/>
    </row>
    <row r="403" spans="2:12" ht="14.25" thickTop="1" thickBot="1" x14ac:dyDescent="0.25">
      <c r="D403" s="18"/>
      <c r="E403" s="18"/>
      <c r="F403" s="18"/>
      <c r="G403" s="18"/>
      <c r="I403" s="289"/>
      <c r="J403" s="289"/>
      <c r="K403" s="289"/>
    </row>
    <row r="404" spans="2:12" ht="13.5" thickBot="1" x14ac:dyDescent="0.25">
      <c r="B404" s="57" t="s">
        <v>438</v>
      </c>
      <c r="C404" s="58"/>
      <c r="D404" s="321"/>
      <c r="E404" s="321"/>
      <c r="F404" s="321"/>
      <c r="G404" s="322"/>
      <c r="I404" s="289"/>
      <c r="J404" s="289"/>
      <c r="K404" s="289"/>
    </row>
    <row r="405" spans="2:12" ht="15.75" thickBot="1" x14ac:dyDescent="0.25">
      <c r="B405" s="337" t="s">
        <v>437</v>
      </c>
      <c r="C405" s="338" t="s">
        <v>438</v>
      </c>
      <c r="D405" s="336">
        <v>160000</v>
      </c>
      <c r="E405" s="336">
        <v>67691.61</v>
      </c>
      <c r="F405" s="336">
        <v>78064.3</v>
      </c>
      <c r="G405" s="336">
        <v>160000</v>
      </c>
      <c r="I405" s="289">
        <v>52800</v>
      </c>
      <c r="J405" s="289">
        <v>1</v>
      </c>
      <c r="K405" s="289">
        <v>61100</v>
      </c>
      <c r="L405" s="421"/>
    </row>
    <row r="406" spans="2:12" x14ac:dyDescent="0.2">
      <c r="B406" s="7" t="s">
        <v>439</v>
      </c>
      <c r="C406" s="8" t="s">
        <v>438</v>
      </c>
      <c r="D406" s="9">
        <v>154014</v>
      </c>
      <c r="E406" s="76">
        <f>47148.08+6706.45+8643.98</f>
        <v>62498.509999999995</v>
      </c>
      <c r="F406" s="17">
        <v>61380.93</v>
      </c>
      <c r="G406" s="17">
        <v>77730.77</v>
      </c>
      <c r="I406" s="289">
        <v>52800</v>
      </c>
      <c r="J406" s="289">
        <v>2002</v>
      </c>
      <c r="K406" s="289">
        <v>57999</v>
      </c>
    </row>
    <row r="407" spans="2:12" x14ac:dyDescent="0.2">
      <c r="B407" s="7" t="s">
        <v>440</v>
      </c>
      <c r="C407" s="8" t="s">
        <v>167</v>
      </c>
      <c r="D407" s="9">
        <v>5900</v>
      </c>
      <c r="E407" s="76">
        <v>5193.1000000000004</v>
      </c>
      <c r="F407" s="9">
        <v>5193.1000000000004</v>
      </c>
      <c r="G407" s="9">
        <v>5820.25</v>
      </c>
      <c r="I407" s="289">
        <v>52800</v>
      </c>
      <c r="J407" s="289">
        <v>2002</v>
      </c>
      <c r="K407" s="289">
        <v>51060</v>
      </c>
    </row>
    <row r="408" spans="2:12" ht="13.5" thickBot="1" x14ac:dyDescent="0.25">
      <c r="B408" s="10" t="s">
        <v>441</v>
      </c>
      <c r="C408" s="11" t="s">
        <v>393</v>
      </c>
      <c r="D408" s="12">
        <v>86</v>
      </c>
      <c r="E408" s="317">
        <v>0</v>
      </c>
      <c r="F408" s="12">
        <v>71.08</v>
      </c>
      <c r="G408" s="12">
        <v>71.08</v>
      </c>
      <c r="I408" s="289">
        <v>52800</v>
      </c>
      <c r="J408" s="289">
        <v>2002</v>
      </c>
      <c r="K408" s="289">
        <v>52010</v>
      </c>
    </row>
    <row r="409" spans="2:12" ht="13.5" thickBot="1" x14ac:dyDescent="0.25">
      <c r="C409" s="15" t="s">
        <v>337</v>
      </c>
      <c r="D409" s="42">
        <f>+D405-D407-D408-D406</f>
        <v>0</v>
      </c>
      <c r="E409" s="42">
        <f>+E405-E407-E408-E406</f>
        <v>0</v>
      </c>
      <c r="F409" s="42">
        <f>+F405-F407-F408-F406</f>
        <v>11419.189999999995</v>
      </c>
      <c r="G409" s="42">
        <f>+G405-G407-G408-G406</f>
        <v>76377.900000000009</v>
      </c>
      <c r="I409" s="289"/>
      <c r="J409" s="289"/>
      <c r="K409" s="289"/>
    </row>
    <row r="410" spans="2:12" ht="14.25" thickTop="1" thickBot="1" x14ac:dyDescent="0.25">
      <c r="C410" s="15"/>
      <c r="D410" s="18"/>
      <c r="E410" s="18"/>
      <c r="F410" s="18"/>
      <c r="G410" s="18"/>
      <c r="I410" s="289"/>
      <c r="J410" s="289"/>
      <c r="K410" s="289"/>
    </row>
    <row r="411" spans="2:12" ht="13.5" thickBot="1" x14ac:dyDescent="0.25">
      <c r="B411" s="411" t="s">
        <v>760</v>
      </c>
      <c r="C411" s="412"/>
      <c r="D411" s="413"/>
      <c r="E411" s="413"/>
      <c r="F411" s="413"/>
      <c r="G411" s="414"/>
      <c r="I411" s="293"/>
      <c r="J411" s="293"/>
      <c r="K411" s="293"/>
    </row>
    <row r="412" spans="2:12" x14ac:dyDescent="0.2">
      <c r="B412" s="24" t="s">
        <v>761</v>
      </c>
      <c r="C412" s="25" t="s">
        <v>763</v>
      </c>
      <c r="D412" s="17">
        <v>50000</v>
      </c>
      <c r="E412" s="341">
        <v>0</v>
      </c>
      <c r="F412" s="17">
        <v>0</v>
      </c>
      <c r="G412" s="402">
        <v>37037.040000000001</v>
      </c>
      <c r="I412" s="291"/>
      <c r="J412" s="293"/>
      <c r="K412" s="293"/>
    </row>
    <row r="413" spans="2:12" ht="13.5" thickBot="1" x14ac:dyDescent="0.25">
      <c r="B413" s="26" t="s">
        <v>898</v>
      </c>
      <c r="C413" s="27" t="s">
        <v>321</v>
      </c>
      <c r="D413" s="12">
        <v>12500</v>
      </c>
      <c r="E413" s="342">
        <v>0</v>
      </c>
      <c r="F413" s="12">
        <v>0</v>
      </c>
      <c r="G413" s="317">
        <v>0</v>
      </c>
      <c r="I413" s="291"/>
      <c r="J413" s="293"/>
      <c r="K413" s="293"/>
    </row>
    <row r="414" spans="2:12" ht="13.5" thickBot="1" x14ac:dyDescent="0.25">
      <c r="B414" s="26" t="s">
        <v>762</v>
      </c>
      <c r="C414" s="27" t="s">
        <v>763</v>
      </c>
      <c r="D414" s="12">
        <v>50000</v>
      </c>
      <c r="E414" s="317">
        <v>0</v>
      </c>
      <c r="F414" s="12">
        <v>0</v>
      </c>
      <c r="G414" s="12">
        <v>0</v>
      </c>
      <c r="I414" s="291"/>
      <c r="J414" s="291"/>
      <c r="K414" s="291"/>
    </row>
    <row r="415" spans="2:12" ht="13.5" thickBot="1" x14ac:dyDescent="0.25">
      <c r="C415" s="15" t="s">
        <v>337</v>
      </c>
      <c r="D415" s="44">
        <f t="shared" ref="D415:F415" si="46">+D412-D414</f>
        <v>0</v>
      </c>
      <c r="E415" s="44">
        <f t="shared" si="46"/>
        <v>0</v>
      </c>
      <c r="F415" s="44">
        <f t="shared" si="46"/>
        <v>0</v>
      </c>
      <c r="G415" s="44">
        <f t="shared" ref="G415" si="47">+G412-G414</f>
        <v>37037.040000000001</v>
      </c>
      <c r="I415" s="293"/>
      <c r="J415" s="293"/>
      <c r="K415" s="293"/>
    </row>
    <row r="416" spans="2:12" ht="14.25" thickTop="1" thickBot="1" x14ac:dyDescent="0.25">
      <c r="D416" s="18"/>
      <c r="E416" s="18"/>
      <c r="F416" s="18"/>
      <c r="G416" s="18"/>
      <c r="I416" s="289"/>
      <c r="J416" s="289"/>
      <c r="K416" s="289"/>
    </row>
    <row r="417" spans="2:15" ht="13.5" thickBot="1" x14ac:dyDescent="0.25">
      <c r="B417" s="57" t="s">
        <v>424</v>
      </c>
      <c r="C417" s="58"/>
      <c r="D417" s="321"/>
      <c r="E417" s="321"/>
      <c r="F417" s="321"/>
      <c r="G417" s="322"/>
      <c r="I417" s="289"/>
      <c r="J417" s="289"/>
      <c r="K417" s="289"/>
    </row>
    <row r="418" spans="2:15" ht="13.5" thickBot="1" x14ac:dyDescent="0.25">
      <c r="B418" s="26" t="s">
        <v>425</v>
      </c>
      <c r="C418" s="27" t="s">
        <v>426</v>
      </c>
      <c r="D418" s="12">
        <v>1500</v>
      </c>
      <c r="E418" s="12">
        <v>675.226</v>
      </c>
      <c r="F418" s="12">
        <v>1067.51</v>
      </c>
      <c r="G418" s="12">
        <v>1455.7</v>
      </c>
      <c r="I418" s="289">
        <v>21400</v>
      </c>
      <c r="J418" s="289">
        <v>1</v>
      </c>
      <c r="K418" s="289">
        <v>41300</v>
      </c>
    </row>
    <row r="419" spans="2:15" ht="13.5" thickBot="1" x14ac:dyDescent="0.25">
      <c r="B419" s="37" t="s">
        <v>427</v>
      </c>
      <c r="C419" s="38" t="s">
        <v>428</v>
      </c>
      <c r="D419" s="43">
        <v>1500</v>
      </c>
      <c r="E419" s="43">
        <v>65.77</v>
      </c>
      <c r="F419" s="43">
        <v>519.49</v>
      </c>
      <c r="G419" s="43">
        <v>519.49</v>
      </c>
      <c r="I419" s="289">
        <v>21400</v>
      </c>
      <c r="J419" s="289">
        <v>2002</v>
      </c>
      <c r="K419" s="289">
        <v>57999</v>
      </c>
    </row>
    <row r="420" spans="2:15" ht="13.5" thickBot="1" x14ac:dyDescent="0.25">
      <c r="D420" s="42">
        <f t="shared" ref="D420:F420" si="48">+D418-D419</f>
        <v>0</v>
      </c>
      <c r="E420" s="42">
        <f t="shared" si="48"/>
        <v>609.45600000000002</v>
      </c>
      <c r="F420" s="42">
        <f t="shared" si="48"/>
        <v>548.02</v>
      </c>
      <c r="G420" s="42">
        <f t="shared" ref="G420" si="49">+G418-G419</f>
        <v>936.21</v>
      </c>
      <c r="I420" s="289"/>
      <c r="J420" s="289"/>
      <c r="K420" s="289"/>
    </row>
    <row r="421" spans="2:15" ht="14.25" thickTop="1" thickBot="1" x14ac:dyDescent="0.25">
      <c r="D421" s="18"/>
      <c r="E421" s="18"/>
      <c r="F421" s="18"/>
      <c r="G421" s="18"/>
      <c r="I421" s="289"/>
      <c r="J421" s="289"/>
      <c r="K421" s="289"/>
    </row>
    <row r="422" spans="2:15" ht="13.5" thickBot="1" x14ac:dyDescent="0.25">
      <c r="B422" s="57" t="s">
        <v>442</v>
      </c>
      <c r="C422" s="58"/>
      <c r="D422" s="321"/>
      <c r="E422" s="321"/>
      <c r="F422" s="321"/>
      <c r="G422" s="322"/>
      <c r="I422" s="289"/>
      <c r="J422" s="289"/>
      <c r="K422" s="289"/>
    </row>
    <row r="423" spans="2:15" x14ac:dyDescent="0.2">
      <c r="B423" s="7" t="s">
        <v>443</v>
      </c>
      <c r="C423" s="31" t="s">
        <v>444</v>
      </c>
      <c r="D423" s="59">
        <v>265562.76</v>
      </c>
      <c r="E423" s="80">
        <v>66390.720000000001</v>
      </c>
      <c r="F423" s="59">
        <v>132781.44</v>
      </c>
      <c r="G423" s="59">
        <v>177041.92000000001</v>
      </c>
      <c r="I423" s="289">
        <v>40200</v>
      </c>
      <c r="J423" s="289">
        <v>1</v>
      </c>
      <c r="K423" s="289">
        <v>41250</v>
      </c>
    </row>
    <row r="424" spans="2:15" x14ac:dyDescent="0.2">
      <c r="B424" s="7" t="s">
        <v>922</v>
      </c>
      <c r="C424" s="31" t="s">
        <v>927</v>
      </c>
      <c r="D424" s="59">
        <v>5000</v>
      </c>
      <c r="E424" s="80">
        <v>0</v>
      </c>
      <c r="F424" s="59">
        <v>0</v>
      </c>
      <c r="G424" s="59">
        <f>54.71+105.15+139.84+191.75+183.11+246.28+283.86+133.21+177.02+242.6+148.71+221.98+266.1</f>
        <v>2394.3199999999997</v>
      </c>
      <c r="I424" s="289"/>
      <c r="J424" s="289"/>
      <c r="K424" s="289"/>
    </row>
    <row r="425" spans="2:15" x14ac:dyDescent="0.2">
      <c r="B425" s="7" t="s">
        <v>445</v>
      </c>
      <c r="C425" s="31" t="s">
        <v>12</v>
      </c>
      <c r="D425" s="59">
        <v>250000</v>
      </c>
      <c r="E425" s="80">
        <v>5168.12</v>
      </c>
      <c r="F425" s="59">
        <v>50381.16</v>
      </c>
      <c r="G425" s="59">
        <v>170686.34</v>
      </c>
      <c r="I425" s="289">
        <v>40100</v>
      </c>
      <c r="J425" s="289">
        <v>1</v>
      </c>
      <c r="K425" s="289">
        <v>41530</v>
      </c>
    </row>
    <row r="426" spans="2:15" ht="13.5" thickBot="1" x14ac:dyDescent="0.25">
      <c r="B426" s="81" t="s">
        <v>446</v>
      </c>
      <c r="C426" s="82" t="s">
        <v>447</v>
      </c>
      <c r="D426" s="61">
        <v>44638.44</v>
      </c>
      <c r="E426" s="83">
        <v>0</v>
      </c>
      <c r="F426" s="61">
        <v>30812</v>
      </c>
      <c r="G426" s="61">
        <v>30812</v>
      </c>
      <c r="I426" s="295" t="s">
        <v>729</v>
      </c>
      <c r="J426" s="289">
        <v>1</v>
      </c>
      <c r="K426" s="289">
        <v>611000</v>
      </c>
    </row>
    <row r="427" spans="2:15" x14ac:dyDescent="0.2">
      <c r="B427" s="84"/>
      <c r="C427" s="85" t="s">
        <v>448</v>
      </c>
      <c r="D427" s="415">
        <v>85000</v>
      </c>
      <c r="E427" s="86"/>
      <c r="F427" s="86"/>
      <c r="G427" s="86"/>
      <c r="I427" s="295"/>
      <c r="J427" s="289"/>
      <c r="K427" s="289"/>
    </row>
    <row r="428" spans="2:15" x14ac:dyDescent="0.2">
      <c r="B428" s="7" t="s">
        <v>449</v>
      </c>
      <c r="C428" s="87" t="s">
        <v>450</v>
      </c>
      <c r="D428" s="9">
        <v>0</v>
      </c>
      <c r="E428" s="9">
        <v>0</v>
      </c>
      <c r="F428" s="9">
        <v>0</v>
      </c>
      <c r="G428" s="9">
        <v>0</v>
      </c>
      <c r="I428" s="289"/>
      <c r="J428" s="289"/>
      <c r="K428" s="289"/>
      <c r="O428" s="335"/>
    </row>
    <row r="429" spans="2:15" x14ac:dyDescent="0.2">
      <c r="B429" s="88"/>
      <c r="C429" s="89" t="s">
        <v>451</v>
      </c>
      <c r="D429" s="63">
        <v>45000</v>
      </c>
      <c r="E429" s="63"/>
      <c r="F429" s="63"/>
      <c r="G429" s="63"/>
      <c r="I429" s="289"/>
      <c r="J429" s="289"/>
      <c r="K429" s="289"/>
    </row>
    <row r="430" spans="2:15" x14ac:dyDescent="0.2">
      <c r="B430" s="7" t="s">
        <v>452</v>
      </c>
      <c r="C430" s="87" t="s">
        <v>453</v>
      </c>
      <c r="D430" s="9">
        <v>0</v>
      </c>
      <c r="E430" s="9">
        <v>0</v>
      </c>
      <c r="F430" s="9">
        <v>0</v>
      </c>
      <c r="G430" s="9">
        <v>0</v>
      </c>
      <c r="I430" s="289"/>
      <c r="J430" s="289"/>
      <c r="K430" s="289"/>
      <c r="N430" s="284"/>
    </row>
    <row r="431" spans="2:15" x14ac:dyDescent="0.2">
      <c r="B431" s="88"/>
      <c r="C431" s="89" t="s">
        <v>454</v>
      </c>
      <c r="D431" s="63">
        <v>46455</v>
      </c>
      <c r="E431" s="63"/>
      <c r="F431" s="63"/>
      <c r="G431" s="63"/>
      <c r="I431" s="289"/>
      <c r="J431" s="289"/>
      <c r="K431" s="289"/>
    </row>
    <row r="432" spans="2:15" x14ac:dyDescent="0.2">
      <c r="B432" s="7" t="s">
        <v>455</v>
      </c>
      <c r="C432" s="87" t="s">
        <v>456</v>
      </c>
      <c r="D432" s="9">
        <v>3574</v>
      </c>
      <c r="E432" s="9">
        <v>0</v>
      </c>
      <c r="F432" s="9">
        <v>0</v>
      </c>
      <c r="G432" s="9">
        <v>0</v>
      </c>
      <c r="I432" s="289">
        <v>40400</v>
      </c>
      <c r="J432" s="289">
        <v>2004</v>
      </c>
      <c r="K432" s="289">
        <v>59010</v>
      </c>
    </row>
    <row r="433" spans="1:16" x14ac:dyDescent="0.2">
      <c r="B433" s="88"/>
      <c r="C433" s="89" t="s">
        <v>457</v>
      </c>
      <c r="D433" s="63">
        <v>127500</v>
      </c>
      <c r="E433" s="63"/>
      <c r="F433" s="63"/>
      <c r="G433" s="63"/>
      <c r="I433" s="289"/>
      <c r="J433" s="289"/>
      <c r="K433" s="289"/>
      <c r="P433" s="335"/>
    </row>
    <row r="434" spans="1:16" x14ac:dyDescent="0.2">
      <c r="B434" s="7" t="s">
        <v>458</v>
      </c>
      <c r="C434" s="87" t="s">
        <v>459</v>
      </c>
      <c r="D434" s="9">
        <v>7500</v>
      </c>
      <c r="E434" s="9">
        <v>0</v>
      </c>
      <c r="F434" s="9">
        <v>0</v>
      </c>
      <c r="G434" s="9">
        <v>0</v>
      </c>
      <c r="I434" s="289">
        <v>40400</v>
      </c>
      <c r="J434" s="289">
        <v>2004</v>
      </c>
      <c r="K434" s="289">
        <v>59010</v>
      </c>
    </row>
    <row r="435" spans="1:16" x14ac:dyDescent="0.2">
      <c r="B435" s="88"/>
      <c r="C435" s="89" t="s">
        <v>460</v>
      </c>
      <c r="D435" s="63">
        <v>33024</v>
      </c>
      <c r="E435" s="63"/>
      <c r="F435" s="63"/>
      <c r="G435" s="63"/>
      <c r="I435" s="289"/>
      <c r="J435" s="289"/>
      <c r="K435" s="289"/>
    </row>
    <row r="436" spans="1:16" x14ac:dyDescent="0.2">
      <c r="B436" s="7" t="s">
        <v>461</v>
      </c>
      <c r="C436" s="87" t="s">
        <v>462</v>
      </c>
      <c r="D436" s="9">
        <v>2752</v>
      </c>
      <c r="E436" s="9">
        <v>0</v>
      </c>
      <c r="F436" s="9">
        <v>0</v>
      </c>
      <c r="G436" s="9">
        <v>0</v>
      </c>
      <c r="I436" s="289">
        <v>40400</v>
      </c>
      <c r="J436" s="289">
        <v>2004</v>
      </c>
      <c r="K436" s="289">
        <v>59010</v>
      </c>
    </row>
    <row r="437" spans="1:16" x14ac:dyDescent="0.2">
      <c r="B437" s="88"/>
      <c r="C437" s="89" t="s">
        <v>463</v>
      </c>
      <c r="D437" s="63">
        <v>130000</v>
      </c>
      <c r="E437" s="63"/>
      <c r="F437" s="63"/>
      <c r="G437" s="63"/>
      <c r="I437" s="289"/>
      <c r="J437" s="289"/>
      <c r="K437" s="289"/>
    </row>
    <row r="438" spans="1:16" x14ac:dyDescent="0.2">
      <c r="B438" s="7" t="s">
        <v>464</v>
      </c>
      <c r="C438" s="87" t="s">
        <v>465</v>
      </c>
      <c r="D438" s="9">
        <v>0</v>
      </c>
      <c r="E438" s="9">
        <v>0</v>
      </c>
      <c r="F438" s="9">
        <v>0</v>
      </c>
      <c r="G438" s="9">
        <v>0</v>
      </c>
      <c r="I438" s="289"/>
      <c r="J438" s="289"/>
      <c r="K438" s="289"/>
    </row>
    <row r="439" spans="1:16" x14ac:dyDescent="0.2">
      <c r="B439" s="88"/>
      <c r="C439" s="89" t="s">
        <v>466</v>
      </c>
      <c r="D439" s="63">
        <v>1186414.48</v>
      </c>
      <c r="E439" s="63"/>
      <c r="F439" s="63"/>
      <c r="G439" s="63"/>
      <c r="I439" s="289"/>
      <c r="J439" s="289"/>
      <c r="K439" s="289"/>
    </row>
    <row r="440" spans="1:16" x14ac:dyDescent="0.2">
      <c r="B440" s="7" t="s">
        <v>467</v>
      </c>
      <c r="C440" s="87" t="s">
        <v>468</v>
      </c>
      <c r="D440" s="9">
        <v>117469.2</v>
      </c>
      <c r="E440" s="9">
        <v>29367.31</v>
      </c>
      <c r="F440" s="9">
        <v>58734.61</v>
      </c>
      <c r="G440" s="9">
        <v>78312.81</v>
      </c>
      <c r="I440" s="289">
        <v>40200</v>
      </c>
      <c r="J440" s="289">
        <v>2004</v>
      </c>
      <c r="K440" s="289">
        <v>59010</v>
      </c>
    </row>
    <row r="441" spans="1:16" x14ac:dyDescent="0.2">
      <c r="B441" s="88"/>
      <c r="C441" s="89" t="s">
        <v>469</v>
      </c>
      <c r="D441" s="63">
        <v>3906569.5</v>
      </c>
      <c r="E441" s="63"/>
      <c r="F441" s="63"/>
      <c r="G441" s="63"/>
      <c r="I441" s="289"/>
      <c r="J441" s="289"/>
      <c r="K441" s="289"/>
    </row>
    <row r="442" spans="1:16" x14ac:dyDescent="0.2">
      <c r="B442" s="7" t="s">
        <v>470</v>
      </c>
      <c r="C442" s="87" t="s">
        <v>471</v>
      </c>
      <c r="D442" s="9">
        <v>148093.56</v>
      </c>
      <c r="E442" s="9">
        <v>3723.39</v>
      </c>
      <c r="F442" s="9">
        <v>74046.81</v>
      </c>
      <c r="G442" s="9">
        <v>98729.09</v>
      </c>
      <c r="I442" s="289">
        <v>40200</v>
      </c>
      <c r="J442" s="289">
        <v>2004</v>
      </c>
      <c r="K442" s="289">
        <v>59010</v>
      </c>
    </row>
    <row r="443" spans="1:16" x14ac:dyDescent="0.2">
      <c r="B443" s="88"/>
      <c r="C443" s="89" t="s">
        <v>472</v>
      </c>
      <c r="D443" s="63">
        <v>2672369.5</v>
      </c>
      <c r="E443" s="63"/>
      <c r="F443" s="63"/>
      <c r="G443" s="63"/>
      <c r="I443" s="289"/>
      <c r="J443" s="289"/>
      <c r="K443" s="289"/>
    </row>
    <row r="444" spans="1:16" x14ac:dyDescent="0.2">
      <c r="B444" s="7" t="s">
        <v>473</v>
      </c>
      <c r="C444" s="87" t="s">
        <v>474</v>
      </c>
      <c r="D444" s="9">
        <v>190511.44</v>
      </c>
      <c r="E444" s="9">
        <v>158697.9</v>
      </c>
      <c r="F444" s="9">
        <v>189248.1</v>
      </c>
      <c r="G444" s="9">
        <v>189248.1</v>
      </c>
      <c r="I444" s="289">
        <v>40100</v>
      </c>
      <c r="J444" s="289">
        <v>2004</v>
      </c>
      <c r="K444" s="289">
        <v>59010</v>
      </c>
    </row>
    <row r="445" spans="1:16" ht="13.5" thickBot="1" x14ac:dyDescent="0.25">
      <c r="B445" s="10" t="s">
        <v>475</v>
      </c>
      <c r="C445" s="90" t="s">
        <v>476</v>
      </c>
      <c r="D445" s="12">
        <v>301</v>
      </c>
      <c r="E445" s="12">
        <v>284.83999999999997</v>
      </c>
      <c r="F445" s="12">
        <v>419.53</v>
      </c>
      <c r="G445" s="12">
        <v>419.53</v>
      </c>
      <c r="I445" s="289">
        <v>40100</v>
      </c>
      <c r="J445" s="289">
        <v>2004</v>
      </c>
      <c r="K445" s="289">
        <v>59010</v>
      </c>
    </row>
    <row r="446" spans="1:16" ht="13.5" thickBot="1" x14ac:dyDescent="0.25">
      <c r="D446" s="42">
        <f t="shared" ref="D446" si="50">+D423+D425+D426-D432-D434-D436-D440-D442-D444-D445</f>
        <v>89999.999999999942</v>
      </c>
      <c r="E446" s="42">
        <f>+E423+E425+E426-E432-E434-E436-E440-E442-E444-E445-E430-E428</f>
        <v>-120514.59999999999</v>
      </c>
      <c r="F446" s="42">
        <f>+F423+F425+F426-F432-F434-F436-F440-F442-F444-F445-F430-F428</f>
        <v>-108474.45000000001</v>
      </c>
      <c r="G446" s="42">
        <f>+G423+G425+G426-G432-G434-G436-G440-G442-G444-G445-G430-G428</f>
        <v>11830.730000000009</v>
      </c>
      <c r="I446" s="289"/>
      <c r="J446" s="289"/>
      <c r="K446" s="289"/>
    </row>
    <row r="447" spans="1:16" ht="14.25" thickTop="1" thickBot="1" x14ac:dyDescent="0.25">
      <c r="D447" s="16"/>
      <c r="E447" s="16"/>
      <c r="F447" s="16"/>
      <c r="G447" s="16"/>
    </row>
    <row r="448" spans="1:16" ht="13.5" thickBot="1" x14ac:dyDescent="0.25">
      <c r="A448" s="21"/>
      <c r="B448" s="431" t="s">
        <v>926</v>
      </c>
      <c r="C448" s="432"/>
      <c r="D448" s="433"/>
      <c r="E448" s="433"/>
      <c r="F448" s="433"/>
      <c r="G448" s="434"/>
      <c r="I448" s="293"/>
      <c r="J448" s="293"/>
      <c r="K448" s="293"/>
    </row>
    <row r="449" spans="1:11" x14ac:dyDescent="0.2">
      <c r="A449" s="21"/>
      <c r="B449" s="24" t="s">
        <v>925</v>
      </c>
      <c r="C449" s="430" t="s">
        <v>923</v>
      </c>
      <c r="D449" s="341">
        <v>125306.48</v>
      </c>
      <c r="E449" s="341">
        <v>0</v>
      </c>
      <c r="F449" s="341">
        <v>0</v>
      </c>
      <c r="G449" s="402">
        <v>125306.48</v>
      </c>
      <c r="I449" s="293">
        <v>30100</v>
      </c>
      <c r="J449" s="293">
        <v>1</v>
      </c>
      <c r="K449" s="293">
        <v>46200</v>
      </c>
    </row>
    <row r="450" spans="1:11" x14ac:dyDescent="0.2">
      <c r="A450" s="21"/>
      <c r="B450" s="28" t="s">
        <v>925</v>
      </c>
      <c r="C450" s="73" t="s">
        <v>924</v>
      </c>
      <c r="D450" s="18">
        <v>2500</v>
      </c>
      <c r="E450" s="18">
        <v>0</v>
      </c>
      <c r="F450" s="18">
        <v>0</v>
      </c>
      <c r="G450" s="76">
        <f>165.71+166.98+162.5+174.93+177.44+177.96+194.36</f>
        <v>1219.8800000000001</v>
      </c>
      <c r="I450" s="293">
        <v>30100</v>
      </c>
      <c r="J450" s="293">
        <v>1</v>
      </c>
      <c r="K450" s="293">
        <v>46030</v>
      </c>
    </row>
    <row r="451" spans="1:11" x14ac:dyDescent="0.2">
      <c r="A451" s="21"/>
      <c r="B451" s="28" t="s">
        <v>925</v>
      </c>
      <c r="C451" s="73" t="s">
        <v>923</v>
      </c>
      <c r="D451" s="18">
        <v>268988.59000000003</v>
      </c>
      <c r="E451" s="18">
        <v>0</v>
      </c>
      <c r="F451" s="18">
        <v>0</v>
      </c>
      <c r="G451" s="76">
        <v>268988.28999999998</v>
      </c>
      <c r="I451" s="293">
        <v>30100</v>
      </c>
      <c r="J451" s="293">
        <v>1</v>
      </c>
      <c r="K451" s="293">
        <v>46200</v>
      </c>
    </row>
    <row r="452" spans="1:11" ht="13.5" thickBot="1" x14ac:dyDescent="0.25">
      <c r="A452" s="21"/>
      <c r="B452" s="26" t="s">
        <v>925</v>
      </c>
      <c r="C452" s="74" t="s">
        <v>924</v>
      </c>
      <c r="D452" s="342">
        <v>5000</v>
      </c>
      <c r="E452" s="342">
        <v>0</v>
      </c>
      <c r="F452" s="342">
        <v>0</v>
      </c>
      <c r="G452" s="317">
        <f>355.71+358.44+348.83+375.51+380.9+382.02+417.23</f>
        <v>2618.64</v>
      </c>
      <c r="I452" s="293">
        <v>30100</v>
      </c>
      <c r="J452" s="293">
        <v>1</v>
      </c>
      <c r="K452" s="293">
        <v>46030</v>
      </c>
    </row>
    <row r="453" spans="1:11" ht="13.5" thickBot="1" x14ac:dyDescent="0.25">
      <c r="A453" s="21"/>
      <c r="B453" s="36"/>
      <c r="C453" s="73"/>
      <c r="D453" s="42">
        <f>+D449+D450+D451+D452</f>
        <v>401795.07</v>
      </c>
      <c r="E453" s="42">
        <f t="shared" ref="E453:G453" si="51">+E449+E450+E451+E452</f>
        <v>0</v>
      </c>
      <c r="F453" s="42">
        <f t="shared" si="51"/>
        <v>0</v>
      </c>
      <c r="G453" s="42">
        <f t="shared" si="51"/>
        <v>398133.29</v>
      </c>
      <c r="I453" s="293"/>
      <c r="J453" s="293"/>
      <c r="K453" s="293"/>
    </row>
    <row r="454" spans="1:11" ht="14.25" thickTop="1" thickBot="1" x14ac:dyDescent="0.25">
      <c r="A454" s="21"/>
      <c r="B454" s="36"/>
      <c r="C454" s="73"/>
      <c r="D454" s="18"/>
      <c r="E454" s="18"/>
      <c r="F454" s="18"/>
      <c r="G454" s="18"/>
      <c r="I454" s="293"/>
      <c r="J454" s="293"/>
      <c r="K454" s="293"/>
    </row>
    <row r="455" spans="1:11" ht="13.5" thickBot="1" x14ac:dyDescent="0.25">
      <c r="B455" s="57" t="s">
        <v>477</v>
      </c>
      <c r="C455" s="58"/>
      <c r="D455" s="321"/>
      <c r="E455" s="321"/>
      <c r="F455" s="321"/>
      <c r="G455" s="322"/>
      <c r="I455" s="289"/>
      <c r="J455" s="289"/>
      <c r="K455" s="289"/>
    </row>
    <row r="456" spans="1:11" ht="13.5" thickBot="1" x14ac:dyDescent="0.25">
      <c r="B456" s="37" t="s">
        <v>478</v>
      </c>
      <c r="C456" s="38" t="s">
        <v>479</v>
      </c>
      <c r="D456" s="43">
        <v>2282212</v>
      </c>
      <c r="E456" s="446">
        <f>1141106+1141106</f>
        <v>2282212</v>
      </c>
      <c r="F456" s="43">
        <v>2282212</v>
      </c>
      <c r="G456" s="43">
        <v>2282212</v>
      </c>
      <c r="I456" s="289">
        <v>26000</v>
      </c>
      <c r="J456" s="289">
        <v>1</v>
      </c>
      <c r="K456" s="289">
        <v>47700</v>
      </c>
    </row>
    <row r="457" spans="1:11" x14ac:dyDescent="0.2">
      <c r="B457" s="447" t="s">
        <v>480</v>
      </c>
      <c r="C457" s="448" t="s">
        <v>481</v>
      </c>
      <c r="D457" s="449">
        <v>1671926.43</v>
      </c>
      <c r="E457" s="449">
        <f>+E399+E405+E515+E267</f>
        <v>1458797.6099999999</v>
      </c>
      <c r="F457" s="449">
        <f>+F399+F405+F515+F267</f>
        <v>1578475.35</v>
      </c>
      <c r="G457" s="449">
        <f>+G399+G405+G515+G267+G537</f>
        <v>1671926.43</v>
      </c>
      <c r="I457" s="289">
        <v>26000</v>
      </c>
      <c r="J457" s="289">
        <v>1</v>
      </c>
      <c r="K457" s="289">
        <v>61200</v>
      </c>
    </row>
    <row r="458" spans="1:11" ht="13.5" thickBot="1" x14ac:dyDescent="0.25">
      <c r="B458" s="26" t="s">
        <v>943</v>
      </c>
      <c r="C458" s="450" t="s">
        <v>944</v>
      </c>
      <c r="D458" s="12">
        <v>610285.56999999995</v>
      </c>
      <c r="E458" s="12">
        <v>0</v>
      </c>
      <c r="F458" s="12">
        <v>0</v>
      </c>
      <c r="G458" s="12">
        <v>0</v>
      </c>
      <c r="I458" s="289"/>
      <c r="J458" s="289"/>
      <c r="K458" s="289"/>
    </row>
    <row r="459" spans="1:11" ht="13.5" thickBot="1" x14ac:dyDescent="0.25">
      <c r="D459" s="42">
        <f>+D456-D457-D458</f>
        <v>0</v>
      </c>
      <c r="E459" s="42">
        <f t="shared" ref="E459:G459" si="52">+E456-E457-E458</f>
        <v>823414.39000000013</v>
      </c>
      <c r="F459" s="42">
        <f t="shared" si="52"/>
        <v>703736.64999999991</v>
      </c>
      <c r="G459" s="42">
        <f t="shared" si="52"/>
        <v>610285.57000000007</v>
      </c>
      <c r="I459" s="289"/>
      <c r="J459" s="289"/>
      <c r="K459" s="289"/>
    </row>
    <row r="460" spans="1:11" ht="14.25" thickTop="1" thickBot="1" x14ac:dyDescent="0.25">
      <c r="D460" s="16"/>
      <c r="E460" s="16"/>
      <c r="F460" s="16"/>
      <c r="G460" s="16"/>
    </row>
    <row r="461" spans="1:11" ht="13.5" thickBot="1" x14ac:dyDescent="0.25">
      <c r="B461" s="57" t="s">
        <v>482</v>
      </c>
      <c r="C461" s="58"/>
      <c r="D461" s="321"/>
      <c r="E461" s="321"/>
      <c r="F461" s="321"/>
      <c r="G461" s="322"/>
      <c r="I461" s="289"/>
      <c r="J461" s="289"/>
      <c r="K461" s="289"/>
    </row>
    <row r="462" spans="1:11" ht="13.5" thickBot="1" x14ac:dyDescent="0.25">
      <c r="B462" s="26" t="s">
        <v>483</v>
      </c>
      <c r="C462" s="27" t="s">
        <v>484</v>
      </c>
      <c r="D462" s="9">
        <v>63000</v>
      </c>
      <c r="E462" s="76">
        <v>0</v>
      </c>
      <c r="F462" s="12">
        <v>0</v>
      </c>
      <c r="G462" s="12">
        <v>0</v>
      </c>
      <c r="I462" s="289">
        <v>70200</v>
      </c>
      <c r="J462" s="289">
        <v>1</v>
      </c>
      <c r="K462" s="289">
        <v>46900</v>
      </c>
    </row>
    <row r="463" spans="1:11" ht="13.5" thickBot="1" x14ac:dyDescent="0.25">
      <c r="B463" s="37" t="s">
        <v>485</v>
      </c>
      <c r="C463" s="38" t="s">
        <v>486</v>
      </c>
      <c r="D463" s="43">
        <v>63000</v>
      </c>
      <c r="E463" s="43">
        <v>0</v>
      </c>
      <c r="F463" s="43">
        <v>0</v>
      </c>
      <c r="G463" s="43">
        <v>0</v>
      </c>
      <c r="I463" s="289">
        <v>70200</v>
      </c>
      <c r="J463" s="289">
        <v>2002</v>
      </c>
      <c r="K463" s="289">
        <v>57999</v>
      </c>
    </row>
    <row r="464" spans="1:11" ht="13.5" thickBot="1" x14ac:dyDescent="0.25">
      <c r="D464" s="42">
        <f t="shared" ref="D464:F464" si="53">+D462-D463</f>
        <v>0</v>
      </c>
      <c r="E464" s="42">
        <f t="shared" si="53"/>
        <v>0</v>
      </c>
      <c r="F464" s="42">
        <f t="shared" si="53"/>
        <v>0</v>
      </c>
      <c r="G464" s="42">
        <f t="shared" ref="G464" si="54">+G462-G463</f>
        <v>0</v>
      </c>
      <c r="I464" s="289"/>
      <c r="J464" s="289"/>
      <c r="K464" s="289"/>
    </row>
    <row r="465" spans="2:11" ht="14.25" thickTop="1" thickBot="1" x14ac:dyDescent="0.25">
      <c r="D465" s="16"/>
      <c r="E465" s="16"/>
      <c r="F465" s="16"/>
      <c r="G465" s="16"/>
    </row>
    <row r="466" spans="2:11" ht="13.5" thickBot="1" x14ac:dyDescent="0.25">
      <c r="B466" s="57" t="s">
        <v>755</v>
      </c>
      <c r="C466" s="58"/>
      <c r="D466" s="321"/>
      <c r="E466" s="321"/>
      <c r="F466" s="321"/>
      <c r="G466" s="322"/>
      <c r="I466" s="289"/>
      <c r="J466" s="289"/>
      <c r="K466" s="289"/>
    </row>
    <row r="467" spans="2:11" ht="13.5" thickBot="1" x14ac:dyDescent="0.25">
      <c r="B467" s="26" t="s">
        <v>756</v>
      </c>
      <c r="C467" s="34" t="s">
        <v>757</v>
      </c>
      <c r="D467" s="9">
        <v>30000</v>
      </c>
      <c r="E467" s="76">
        <v>30000</v>
      </c>
      <c r="F467" s="12">
        <v>30000</v>
      </c>
      <c r="G467" s="12">
        <v>30000</v>
      </c>
      <c r="I467" s="289">
        <v>70200</v>
      </c>
      <c r="J467" s="289">
        <v>1</v>
      </c>
      <c r="K467" s="289">
        <v>46900</v>
      </c>
    </row>
    <row r="468" spans="2:11" ht="13.5" thickBot="1" x14ac:dyDescent="0.25">
      <c r="B468" s="37" t="s">
        <v>758</v>
      </c>
      <c r="C468" s="38" t="s">
        <v>757</v>
      </c>
      <c r="D468" s="43">
        <v>30000</v>
      </c>
      <c r="E468" s="43">
        <v>0</v>
      </c>
      <c r="F468" s="43">
        <v>0</v>
      </c>
      <c r="G468" s="43">
        <v>30000</v>
      </c>
      <c r="I468" s="289">
        <v>70200</v>
      </c>
      <c r="J468" s="289">
        <v>2002</v>
      </c>
      <c r="K468" s="289">
        <v>57999</v>
      </c>
    </row>
    <row r="469" spans="2:11" ht="13.5" thickBot="1" x14ac:dyDescent="0.25">
      <c r="D469" s="42">
        <f t="shared" ref="D469:F469" si="55">+D467-D468</f>
        <v>0</v>
      </c>
      <c r="E469" s="42">
        <f t="shared" si="55"/>
        <v>30000</v>
      </c>
      <c r="F469" s="42">
        <f t="shared" si="55"/>
        <v>30000</v>
      </c>
      <c r="G469" s="42">
        <f t="shared" ref="G469" si="56">+G467-G468</f>
        <v>0</v>
      </c>
      <c r="I469" s="289"/>
      <c r="J469" s="289"/>
      <c r="K469" s="289"/>
    </row>
    <row r="470" spans="2:11" ht="14.25" thickTop="1" thickBot="1" x14ac:dyDescent="0.25">
      <c r="D470" s="16"/>
      <c r="E470" s="16"/>
      <c r="F470" s="16"/>
      <c r="G470" s="16"/>
    </row>
    <row r="471" spans="2:11" ht="13.5" thickBot="1" x14ac:dyDescent="0.25">
      <c r="B471" s="57" t="s">
        <v>590</v>
      </c>
      <c r="C471" s="58"/>
      <c r="D471" s="323"/>
      <c r="E471" s="323"/>
      <c r="F471" s="324"/>
      <c r="G471" s="324"/>
      <c r="I471" s="289"/>
      <c r="J471" s="289"/>
      <c r="K471" s="289"/>
    </row>
    <row r="472" spans="2:11" ht="13.5" thickBot="1" x14ac:dyDescent="0.25">
      <c r="B472" s="26" t="s">
        <v>487</v>
      </c>
      <c r="C472" s="34" t="s">
        <v>488</v>
      </c>
      <c r="D472" s="30">
        <v>1000000</v>
      </c>
      <c r="E472" s="325">
        <v>157341.34</v>
      </c>
      <c r="F472" s="340">
        <v>327908.45</v>
      </c>
      <c r="G472" s="340">
        <v>437131.35</v>
      </c>
      <c r="I472" s="289">
        <v>52300</v>
      </c>
      <c r="J472" s="289">
        <v>1</v>
      </c>
      <c r="K472" s="289">
        <v>43900</v>
      </c>
    </row>
    <row r="473" spans="2:11" ht="13.5" thickBot="1" x14ac:dyDescent="0.25">
      <c r="B473" s="37" t="s">
        <v>489</v>
      </c>
      <c r="C473" s="64" t="s">
        <v>490</v>
      </c>
      <c r="D473" s="43">
        <v>1000000</v>
      </c>
      <c r="E473" s="43">
        <v>142108.74</v>
      </c>
      <c r="F473" s="43">
        <v>334887.55</v>
      </c>
      <c r="G473" s="43">
        <v>445189.17</v>
      </c>
      <c r="I473" s="289">
        <v>52300</v>
      </c>
      <c r="J473" s="289">
        <v>9005</v>
      </c>
      <c r="K473" s="289">
        <v>59050</v>
      </c>
    </row>
    <row r="474" spans="2:11" ht="13.5" thickBot="1" x14ac:dyDescent="0.25">
      <c r="C474" s="15" t="s">
        <v>337</v>
      </c>
      <c r="D474" s="44">
        <f t="shared" ref="D474:F474" si="57">+D472-D473</f>
        <v>0</v>
      </c>
      <c r="E474" s="44">
        <f t="shared" si="57"/>
        <v>15232.600000000006</v>
      </c>
      <c r="F474" s="44">
        <f t="shared" si="57"/>
        <v>-6979.0999999999767</v>
      </c>
      <c r="G474" s="44">
        <f t="shared" ref="G474" si="58">+G472-G473</f>
        <v>-8057.820000000007</v>
      </c>
      <c r="I474" s="289"/>
      <c r="J474" s="289"/>
      <c r="K474" s="289"/>
    </row>
    <row r="475" spans="2:11" ht="14.25" thickTop="1" thickBot="1" x14ac:dyDescent="0.25">
      <c r="D475" s="16"/>
      <c r="E475" s="16"/>
      <c r="F475" s="16"/>
      <c r="G475" s="16"/>
    </row>
    <row r="476" spans="2:11" ht="13.5" thickBot="1" x14ac:dyDescent="0.25">
      <c r="B476" s="98" t="s">
        <v>491</v>
      </c>
      <c r="C476" s="99"/>
      <c r="D476" s="311"/>
      <c r="E476" s="311"/>
      <c r="F476" s="311"/>
      <c r="G476" s="312"/>
      <c r="I476" s="289"/>
      <c r="J476" s="289"/>
      <c r="K476" s="289"/>
    </row>
    <row r="477" spans="2:11" ht="13.5" thickBot="1" x14ac:dyDescent="0.25">
      <c r="B477" s="425" t="s">
        <v>580</v>
      </c>
      <c r="C477" s="426"/>
      <c r="D477" s="427"/>
      <c r="E477" s="427"/>
      <c r="F477" s="427"/>
      <c r="G477" s="428"/>
      <c r="I477" s="289"/>
      <c r="J477" s="289"/>
      <c r="K477" s="289"/>
    </row>
    <row r="478" spans="2:11" ht="13.5" thickBot="1" x14ac:dyDescent="0.25">
      <c r="B478" s="26" t="s">
        <v>581</v>
      </c>
      <c r="C478" s="27" t="s">
        <v>582</v>
      </c>
      <c r="D478" s="9">
        <v>80000</v>
      </c>
      <c r="E478" s="12">
        <v>0</v>
      </c>
      <c r="F478" s="12">
        <v>0</v>
      </c>
      <c r="G478" s="12">
        <v>0</v>
      </c>
      <c r="I478" s="291">
        <v>30800</v>
      </c>
      <c r="J478" s="291">
        <v>1</v>
      </c>
      <c r="K478" s="291">
        <v>46060</v>
      </c>
    </row>
    <row r="479" spans="2:11" ht="13.5" thickBot="1" x14ac:dyDescent="0.25">
      <c r="B479" s="26" t="s">
        <v>583</v>
      </c>
      <c r="C479" s="27" t="s">
        <v>582</v>
      </c>
      <c r="D479" s="43">
        <v>80000</v>
      </c>
      <c r="E479" s="317">
        <v>0</v>
      </c>
      <c r="F479" s="43">
        <v>0</v>
      </c>
      <c r="G479" s="43">
        <v>0</v>
      </c>
      <c r="I479" s="291">
        <v>30800</v>
      </c>
      <c r="J479" s="291">
        <v>2002</v>
      </c>
      <c r="K479" s="291">
        <v>58999</v>
      </c>
    </row>
    <row r="480" spans="2:11" ht="13.5" thickBot="1" x14ac:dyDescent="0.25">
      <c r="C480" s="15" t="s">
        <v>337</v>
      </c>
      <c r="D480" s="44">
        <f t="shared" ref="D480:F480" si="59">+D478-D479</f>
        <v>0</v>
      </c>
      <c r="E480" s="44">
        <f t="shared" si="59"/>
        <v>0</v>
      </c>
      <c r="F480" s="44">
        <f t="shared" si="59"/>
        <v>0</v>
      </c>
      <c r="G480" s="44">
        <f t="shared" ref="G480" si="60">+G478-G479</f>
        <v>0</v>
      </c>
      <c r="I480" s="291"/>
      <c r="J480" s="291"/>
      <c r="K480" s="291"/>
    </row>
    <row r="481" spans="2:11" ht="14.25" thickTop="1" thickBot="1" x14ac:dyDescent="0.25">
      <c r="I481" s="291"/>
      <c r="J481" s="296"/>
      <c r="K481" s="296"/>
    </row>
    <row r="482" spans="2:11" ht="13.5" thickBot="1" x14ac:dyDescent="0.25">
      <c r="B482" s="425" t="s">
        <v>584</v>
      </c>
      <c r="C482" s="426"/>
      <c r="D482" s="427"/>
      <c r="E482" s="427"/>
      <c r="F482" s="427"/>
      <c r="G482" s="428"/>
      <c r="I482" s="293"/>
      <c r="J482" s="293"/>
      <c r="K482" s="293"/>
    </row>
    <row r="483" spans="2:11" ht="13.5" thickBot="1" x14ac:dyDescent="0.25">
      <c r="B483" s="26" t="s">
        <v>585</v>
      </c>
      <c r="C483" s="27" t="s">
        <v>586</v>
      </c>
      <c r="D483" s="9">
        <v>50000</v>
      </c>
      <c r="E483" s="12">
        <v>0</v>
      </c>
      <c r="F483" s="12">
        <v>0</v>
      </c>
      <c r="G483" s="12">
        <v>0</v>
      </c>
      <c r="I483" s="291">
        <v>30800</v>
      </c>
      <c r="J483" s="293">
        <v>1</v>
      </c>
      <c r="K483" s="293">
        <v>46060</v>
      </c>
    </row>
    <row r="484" spans="2:11" ht="13.5" thickBot="1" x14ac:dyDescent="0.25">
      <c r="B484" s="26" t="s">
        <v>587</v>
      </c>
      <c r="C484" s="27" t="s">
        <v>586</v>
      </c>
      <c r="D484" s="43">
        <v>50000</v>
      </c>
      <c r="E484" s="317">
        <v>0</v>
      </c>
      <c r="F484" s="43">
        <v>0</v>
      </c>
      <c r="G484" s="43">
        <v>0</v>
      </c>
      <c r="I484" s="291">
        <v>30800</v>
      </c>
      <c r="J484" s="291">
        <v>2002</v>
      </c>
      <c r="K484" s="291">
        <v>58999</v>
      </c>
    </row>
    <row r="485" spans="2:11" ht="13.5" thickBot="1" x14ac:dyDescent="0.25">
      <c r="C485" s="15" t="s">
        <v>337</v>
      </c>
      <c r="D485" s="44">
        <f t="shared" ref="D485:F485" si="61">+D483-D484</f>
        <v>0</v>
      </c>
      <c r="E485" s="44">
        <f t="shared" si="61"/>
        <v>0</v>
      </c>
      <c r="F485" s="44">
        <f t="shared" si="61"/>
        <v>0</v>
      </c>
      <c r="G485" s="44">
        <f t="shared" ref="G485" si="62">+G483-G484</f>
        <v>0</v>
      </c>
      <c r="I485" s="293"/>
      <c r="J485" s="293"/>
      <c r="K485" s="293"/>
    </row>
    <row r="486" spans="2:11" ht="14.25" thickTop="1" thickBot="1" x14ac:dyDescent="0.25">
      <c r="I486" s="293"/>
      <c r="J486" s="293"/>
      <c r="K486" s="293"/>
    </row>
    <row r="487" spans="2:11" ht="13.5" thickBot="1" x14ac:dyDescent="0.25">
      <c r="B487" s="425" t="s">
        <v>508</v>
      </c>
      <c r="C487" s="426"/>
      <c r="D487" s="427"/>
      <c r="E487" s="427"/>
      <c r="F487" s="427"/>
      <c r="G487" s="428"/>
      <c r="I487" s="293"/>
      <c r="J487" s="293"/>
      <c r="K487" s="293"/>
    </row>
    <row r="488" spans="2:11" ht="13.5" thickBot="1" x14ac:dyDescent="0.25">
      <c r="B488" s="26" t="s">
        <v>509</v>
      </c>
      <c r="C488" s="27" t="s">
        <v>510</v>
      </c>
      <c r="D488" s="12">
        <v>1500000</v>
      </c>
      <c r="E488" s="317">
        <v>0</v>
      </c>
      <c r="F488" s="12">
        <v>0</v>
      </c>
      <c r="G488" s="12">
        <v>0</v>
      </c>
      <c r="I488" s="291">
        <v>30800</v>
      </c>
      <c r="J488" s="293">
        <v>1</v>
      </c>
      <c r="K488" s="293">
        <v>46060</v>
      </c>
    </row>
    <row r="489" spans="2:11" ht="13.5" thickBot="1" x14ac:dyDescent="0.25">
      <c r="B489" s="26" t="s">
        <v>511</v>
      </c>
      <c r="C489" s="27" t="s">
        <v>510</v>
      </c>
      <c r="D489" s="12">
        <v>1500000</v>
      </c>
      <c r="E489" s="43">
        <v>0</v>
      </c>
      <c r="F489" s="43">
        <v>0</v>
      </c>
      <c r="G489" s="43">
        <v>0</v>
      </c>
      <c r="I489" s="293">
        <v>30800</v>
      </c>
      <c r="J489" s="291">
        <v>2002</v>
      </c>
      <c r="K489" s="291">
        <v>58999</v>
      </c>
    </row>
    <row r="490" spans="2:11" ht="13.5" thickBot="1" x14ac:dyDescent="0.25">
      <c r="C490" s="15" t="s">
        <v>337</v>
      </c>
      <c r="D490" s="44">
        <f t="shared" ref="D490:F490" si="63">+D488-D489</f>
        <v>0</v>
      </c>
      <c r="E490" s="44">
        <f t="shared" si="63"/>
        <v>0</v>
      </c>
      <c r="F490" s="44">
        <f t="shared" si="63"/>
        <v>0</v>
      </c>
      <c r="G490" s="44">
        <f t="shared" ref="G490" si="64">+G488-G489</f>
        <v>0</v>
      </c>
      <c r="I490" s="293"/>
      <c r="J490" s="291"/>
      <c r="K490" s="291"/>
    </row>
    <row r="491" spans="2:11" ht="14.25" thickTop="1" thickBot="1" x14ac:dyDescent="0.25">
      <c r="C491" s="15"/>
      <c r="D491" s="16"/>
      <c r="E491" s="16"/>
      <c r="F491" s="16"/>
      <c r="G491" s="16"/>
      <c r="I491" s="293"/>
      <c r="J491" s="293"/>
      <c r="K491" s="293"/>
    </row>
    <row r="492" spans="2:11" ht="13.5" thickBot="1" x14ac:dyDescent="0.25">
      <c r="B492" s="425" t="s">
        <v>512</v>
      </c>
      <c r="C492" s="426"/>
      <c r="D492" s="427"/>
      <c r="E492" s="427"/>
      <c r="F492" s="427"/>
      <c r="G492" s="428"/>
      <c r="I492" s="293"/>
      <c r="J492" s="293"/>
      <c r="K492" s="293"/>
    </row>
    <row r="493" spans="2:11" ht="13.5" thickBot="1" x14ac:dyDescent="0.25">
      <c r="B493" s="26" t="s">
        <v>513</v>
      </c>
      <c r="C493" s="27" t="s">
        <v>514</v>
      </c>
      <c r="D493" s="12">
        <v>150000</v>
      </c>
      <c r="E493" s="317">
        <v>0</v>
      </c>
      <c r="F493" s="12">
        <v>0</v>
      </c>
      <c r="G493" s="12">
        <v>0</v>
      </c>
      <c r="I493" s="291">
        <v>30800</v>
      </c>
      <c r="J493" s="293">
        <v>1</v>
      </c>
      <c r="K493" s="293">
        <v>46060</v>
      </c>
    </row>
    <row r="494" spans="2:11" ht="13.5" thickBot="1" x14ac:dyDescent="0.25">
      <c r="B494" s="26" t="s">
        <v>515</v>
      </c>
      <c r="C494" s="27" t="s">
        <v>514</v>
      </c>
      <c r="D494" s="12">
        <v>150000</v>
      </c>
      <c r="E494" s="43">
        <v>0</v>
      </c>
      <c r="F494" s="43">
        <v>0</v>
      </c>
      <c r="G494" s="43">
        <v>0</v>
      </c>
      <c r="I494" s="293">
        <v>30800</v>
      </c>
      <c r="J494" s="293">
        <v>2002</v>
      </c>
      <c r="K494" s="293">
        <v>56999</v>
      </c>
    </row>
    <row r="495" spans="2:11" ht="13.5" thickBot="1" x14ac:dyDescent="0.25">
      <c r="C495" s="15" t="s">
        <v>337</v>
      </c>
      <c r="D495" s="44">
        <f t="shared" ref="D495:F495" si="65">+D493-D494</f>
        <v>0</v>
      </c>
      <c r="E495" s="44">
        <f t="shared" si="65"/>
        <v>0</v>
      </c>
      <c r="F495" s="44">
        <f t="shared" si="65"/>
        <v>0</v>
      </c>
      <c r="G495" s="44">
        <f t="shared" ref="G495" si="66">+G493-G494</f>
        <v>0</v>
      </c>
      <c r="I495" s="293"/>
      <c r="J495" s="291"/>
      <c r="K495" s="291"/>
    </row>
    <row r="496" spans="2:11" ht="14.25" thickTop="1" thickBot="1" x14ac:dyDescent="0.25">
      <c r="I496" s="293"/>
      <c r="J496" s="293"/>
      <c r="K496" s="293"/>
    </row>
    <row r="497" spans="2:13" ht="13.5" thickBot="1" x14ac:dyDescent="0.25">
      <c r="B497" s="425" t="s">
        <v>530</v>
      </c>
      <c r="C497" s="426"/>
      <c r="D497" s="427"/>
      <c r="E497" s="427"/>
      <c r="F497" s="427"/>
      <c r="G497" s="428"/>
      <c r="I497" s="293"/>
      <c r="J497" s="293"/>
      <c r="K497" s="293"/>
    </row>
    <row r="498" spans="2:13" x14ac:dyDescent="0.2">
      <c r="B498" s="66" t="s">
        <v>531</v>
      </c>
      <c r="C498" s="60" t="s">
        <v>532</v>
      </c>
      <c r="D498" s="9">
        <v>423807</v>
      </c>
      <c r="E498" s="9">
        <v>0</v>
      </c>
      <c r="F498" s="9">
        <v>0</v>
      </c>
      <c r="G498" s="9">
        <v>0</v>
      </c>
      <c r="I498" s="293">
        <v>39900</v>
      </c>
      <c r="J498" s="293">
        <v>1</v>
      </c>
      <c r="K498" s="293">
        <v>46060</v>
      </c>
    </row>
    <row r="499" spans="2:13" ht="13.5" thickBot="1" x14ac:dyDescent="0.25">
      <c r="B499" s="67" t="s">
        <v>533</v>
      </c>
      <c r="C499" s="68" t="s">
        <v>522</v>
      </c>
      <c r="D499" s="12">
        <v>252308</v>
      </c>
      <c r="E499" s="12">
        <v>0</v>
      </c>
      <c r="F499" s="12">
        <v>0</v>
      </c>
      <c r="G499" s="12">
        <v>0</v>
      </c>
      <c r="I499" s="293">
        <v>39900</v>
      </c>
      <c r="J499" s="293">
        <v>1</v>
      </c>
      <c r="K499" s="293">
        <v>46300</v>
      </c>
    </row>
    <row r="500" spans="2:13" ht="13.5" thickBot="1" x14ac:dyDescent="0.25">
      <c r="B500" s="69" t="s">
        <v>534</v>
      </c>
      <c r="C500" s="70" t="s">
        <v>532</v>
      </c>
      <c r="D500" s="43">
        <v>676115</v>
      </c>
      <c r="E500" s="43">
        <v>0</v>
      </c>
      <c r="F500" s="43">
        <v>77056.899999999994</v>
      </c>
      <c r="G500" s="43">
        <v>78259.91</v>
      </c>
      <c r="I500" s="293">
        <v>39900</v>
      </c>
      <c r="J500" s="293">
        <v>2002</v>
      </c>
      <c r="K500" s="293">
        <v>58999</v>
      </c>
      <c r="M500" s="335"/>
    </row>
    <row r="501" spans="2:13" ht="13.5" thickBot="1" x14ac:dyDescent="0.25">
      <c r="B501" s="71"/>
      <c r="C501" s="72" t="s">
        <v>337</v>
      </c>
      <c r="D501" s="42">
        <f t="shared" ref="D501:F501" si="67">+D498+D499-D500</f>
        <v>0</v>
      </c>
      <c r="E501" s="42">
        <f t="shared" si="67"/>
        <v>0</v>
      </c>
      <c r="F501" s="42">
        <f t="shared" si="67"/>
        <v>-77056.899999999994</v>
      </c>
      <c r="G501" s="42">
        <f t="shared" ref="G501" si="68">+G498+G499-G500</f>
        <v>-78259.91</v>
      </c>
      <c r="I501" s="293"/>
      <c r="J501" s="293"/>
      <c r="K501" s="293"/>
      <c r="M501" s="335"/>
    </row>
    <row r="502" spans="2:13" ht="14.25" thickTop="1" thickBot="1" x14ac:dyDescent="0.25">
      <c r="I502" s="293"/>
      <c r="J502" s="293"/>
      <c r="K502" s="293"/>
    </row>
    <row r="503" spans="2:13" ht="13.5" thickBot="1" x14ac:dyDescent="0.25">
      <c r="B503" s="425" t="s">
        <v>535</v>
      </c>
      <c r="C503" s="426"/>
      <c r="D503" s="427"/>
      <c r="E503" s="427"/>
      <c r="F503" s="427"/>
      <c r="G503" s="428"/>
      <c r="I503" s="293"/>
      <c r="J503" s="293"/>
      <c r="K503" s="293"/>
    </row>
    <row r="504" spans="2:13" ht="13.5" thickBot="1" x14ac:dyDescent="0.25">
      <c r="B504" s="66" t="s">
        <v>536</v>
      </c>
      <c r="C504" s="60" t="s">
        <v>537</v>
      </c>
      <c r="D504" s="283">
        <v>323520</v>
      </c>
      <c r="E504" s="12">
        <v>0</v>
      </c>
      <c r="F504" s="12">
        <v>0</v>
      </c>
      <c r="G504" s="12">
        <v>0</v>
      </c>
      <c r="I504" s="293">
        <v>39900</v>
      </c>
      <c r="J504" s="293">
        <v>1</v>
      </c>
      <c r="K504" s="293">
        <v>46060</v>
      </c>
    </row>
    <row r="505" spans="2:13" ht="13.5" thickBot="1" x14ac:dyDescent="0.25">
      <c r="B505" s="69" t="s">
        <v>538</v>
      </c>
      <c r="C505" s="70" t="s">
        <v>537</v>
      </c>
      <c r="D505" s="65">
        <v>323520</v>
      </c>
      <c r="E505" s="43">
        <v>0</v>
      </c>
      <c r="F505" s="43">
        <v>0</v>
      </c>
      <c r="G505" s="43">
        <v>0</v>
      </c>
      <c r="I505" s="293">
        <v>39900</v>
      </c>
      <c r="J505" s="293">
        <v>2002</v>
      </c>
      <c r="K505" s="293">
        <v>58999</v>
      </c>
    </row>
    <row r="506" spans="2:13" ht="13.5" thickBot="1" x14ac:dyDescent="0.25">
      <c r="B506" s="71"/>
      <c r="C506" s="72" t="s">
        <v>337</v>
      </c>
      <c r="D506" s="42">
        <f t="shared" ref="D506:F506" si="69">+D504-D505</f>
        <v>0</v>
      </c>
      <c r="E506" s="42">
        <f t="shared" si="69"/>
        <v>0</v>
      </c>
      <c r="F506" s="42">
        <f t="shared" si="69"/>
        <v>0</v>
      </c>
      <c r="G506" s="42">
        <f t="shared" ref="G506" si="70">+G504-G505</f>
        <v>0</v>
      </c>
      <c r="I506" s="293"/>
      <c r="J506" s="293"/>
      <c r="K506" s="293"/>
    </row>
    <row r="507" spans="2:13" ht="14.25" thickTop="1" thickBot="1" x14ac:dyDescent="0.25">
      <c r="I507" s="293"/>
      <c r="J507" s="293"/>
      <c r="K507" s="293"/>
    </row>
    <row r="508" spans="2:13" ht="13.5" thickBot="1" x14ac:dyDescent="0.25">
      <c r="B508" s="425" t="s">
        <v>539</v>
      </c>
      <c r="C508" s="426"/>
      <c r="D508" s="427"/>
      <c r="E508" s="427"/>
      <c r="F508" s="427"/>
      <c r="G508" s="428"/>
      <c r="I508" s="293"/>
      <c r="J508" s="293"/>
      <c r="K508" s="293"/>
    </row>
    <row r="509" spans="2:13" x14ac:dyDescent="0.2">
      <c r="B509" s="66" t="s">
        <v>540</v>
      </c>
      <c r="C509" s="60" t="s">
        <v>541</v>
      </c>
      <c r="D509" s="9">
        <v>1235000</v>
      </c>
      <c r="E509" s="76">
        <v>0</v>
      </c>
      <c r="F509" s="9">
        <v>0</v>
      </c>
      <c r="G509" s="9">
        <v>0</v>
      </c>
      <c r="I509" s="291">
        <v>30800</v>
      </c>
      <c r="J509" s="293">
        <v>1</v>
      </c>
      <c r="K509" s="293">
        <v>46060</v>
      </c>
    </row>
    <row r="510" spans="2:13" ht="13.5" thickBot="1" x14ac:dyDescent="0.25">
      <c r="B510" s="96" t="s">
        <v>542</v>
      </c>
      <c r="C510" s="62" t="s">
        <v>520</v>
      </c>
      <c r="D510" s="50">
        <v>65000</v>
      </c>
      <c r="E510" s="77">
        <v>0</v>
      </c>
      <c r="F510" s="49">
        <v>0</v>
      </c>
      <c r="G510" s="49">
        <v>0</v>
      </c>
      <c r="I510" s="293">
        <v>30800</v>
      </c>
      <c r="J510" s="293">
        <v>1</v>
      </c>
      <c r="K510" s="293">
        <v>61100</v>
      </c>
    </row>
    <row r="511" spans="2:13" ht="13.5" thickBot="1" x14ac:dyDescent="0.25">
      <c r="B511" s="69" t="s">
        <v>543</v>
      </c>
      <c r="C511" s="70" t="s">
        <v>541</v>
      </c>
      <c r="D511" s="43">
        <v>1300000</v>
      </c>
      <c r="E511" s="43">
        <v>0</v>
      </c>
      <c r="F511" s="43">
        <v>0</v>
      </c>
      <c r="G511" s="43">
        <v>0</v>
      </c>
      <c r="I511" s="293">
        <v>30800</v>
      </c>
      <c r="J511" s="291">
        <v>2002</v>
      </c>
      <c r="K511" s="291">
        <v>58999</v>
      </c>
    </row>
    <row r="512" spans="2:13" ht="13.5" thickBot="1" x14ac:dyDescent="0.25">
      <c r="B512" s="71"/>
      <c r="C512" s="72" t="s">
        <v>337</v>
      </c>
      <c r="D512" s="42">
        <f t="shared" ref="D512:F512" si="71">+D509+D510-D511</f>
        <v>0</v>
      </c>
      <c r="E512" s="42">
        <f t="shared" si="71"/>
        <v>0</v>
      </c>
      <c r="F512" s="42">
        <f t="shared" si="71"/>
        <v>0</v>
      </c>
      <c r="G512" s="42">
        <f t="shared" ref="G512" si="72">+G509+G510-G511</f>
        <v>0</v>
      </c>
      <c r="I512" s="293"/>
      <c r="J512" s="291"/>
      <c r="K512" s="291"/>
    </row>
    <row r="513" spans="2:11" ht="14.25" thickTop="1" thickBot="1" x14ac:dyDescent="0.25">
      <c r="I513" s="293"/>
      <c r="J513" s="293"/>
      <c r="K513" s="293"/>
    </row>
    <row r="514" spans="2:11" ht="13.5" thickBot="1" x14ac:dyDescent="0.25">
      <c r="B514" s="425" t="s">
        <v>750</v>
      </c>
      <c r="C514" s="426"/>
      <c r="D514" s="427"/>
      <c r="E514" s="427"/>
      <c r="F514" s="427"/>
      <c r="G514" s="428"/>
      <c r="I514" s="293"/>
      <c r="J514" s="293"/>
      <c r="K514" s="293"/>
    </row>
    <row r="515" spans="2:11" ht="13.5" thickBot="1" x14ac:dyDescent="0.25">
      <c r="B515" s="92" t="s">
        <v>544</v>
      </c>
      <c r="C515" s="93" t="s">
        <v>545</v>
      </c>
      <c r="D515" s="336">
        <v>1141106</v>
      </c>
      <c r="E515" s="339">
        <v>1141106</v>
      </c>
      <c r="F515" s="336">
        <v>1141106</v>
      </c>
      <c r="G515" s="336">
        <v>1141106</v>
      </c>
      <c r="I515" s="293">
        <v>39900</v>
      </c>
      <c r="J515" s="293">
        <v>1</v>
      </c>
      <c r="K515" s="293">
        <v>61100</v>
      </c>
    </row>
    <row r="516" spans="2:11" ht="13.5" thickBot="1" x14ac:dyDescent="0.25">
      <c r="B516" s="69" t="s">
        <v>546</v>
      </c>
      <c r="C516" s="70" t="s">
        <v>545</v>
      </c>
      <c r="D516" s="43">
        <v>1141106</v>
      </c>
      <c r="E516" s="43">
        <f>60994.06+24099.63</f>
        <v>85093.69</v>
      </c>
      <c r="F516" s="43">
        <v>331154.78000000003</v>
      </c>
      <c r="G516" s="43">
        <v>422489.9</v>
      </c>
      <c r="I516" s="293">
        <v>39900</v>
      </c>
      <c r="J516" s="293">
        <v>2002</v>
      </c>
      <c r="K516" s="293">
        <v>58999</v>
      </c>
    </row>
    <row r="517" spans="2:11" ht="13.5" thickBot="1" x14ac:dyDescent="0.25">
      <c r="B517" s="71"/>
      <c r="C517" s="72" t="s">
        <v>337</v>
      </c>
      <c r="D517" s="42">
        <f t="shared" ref="D517:F517" si="73">+D515-D516</f>
        <v>0</v>
      </c>
      <c r="E517" s="42">
        <f t="shared" si="73"/>
        <v>1056012.31</v>
      </c>
      <c r="F517" s="42">
        <f t="shared" si="73"/>
        <v>809951.22</v>
      </c>
      <c r="G517" s="42">
        <f t="shared" ref="G517" si="74">+G515-G516</f>
        <v>718616.1</v>
      </c>
      <c r="I517" s="293"/>
      <c r="J517" s="293"/>
      <c r="K517" s="293"/>
    </row>
    <row r="518" spans="2:11" ht="14.25" thickTop="1" thickBot="1" x14ac:dyDescent="0.25">
      <c r="I518" s="293"/>
      <c r="J518" s="293"/>
      <c r="K518" s="293"/>
    </row>
    <row r="519" spans="2:11" ht="13.5" thickBot="1" x14ac:dyDescent="0.25">
      <c r="B519" s="425" t="s">
        <v>547</v>
      </c>
      <c r="C519" s="426"/>
      <c r="D519" s="427"/>
      <c r="E519" s="427"/>
      <c r="F519" s="427"/>
      <c r="G519" s="428"/>
      <c r="I519" s="293"/>
      <c r="J519" s="293"/>
      <c r="K519" s="293"/>
    </row>
    <row r="520" spans="2:11" ht="13.5" thickBot="1" x14ac:dyDescent="0.25">
      <c r="B520" s="66" t="s">
        <v>548</v>
      </c>
      <c r="C520" s="60" t="s">
        <v>549</v>
      </c>
      <c r="D520" s="9">
        <v>1875000</v>
      </c>
      <c r="E520" s="76">
        <v>0</v>
      </c>
      <c r="F520" s="9">
        <v>0</v>
      </c>
      <c r="G520" s="9">
        <v>0</v>
      </c>
      <c r="I520" s="293">
        <v>39900</v>
      </c>
      <c r="J520" s="293">
        <v>1</v>
      </c>
      <c r="K520" s="293">
        <v>46060</v>
      </c>
    </row>
    <row r="521" spans="2:11" ht="13.5" thickBot="1" x14ac:dyDescent="0.25">
      <c r="B521" s="69" t="s">
        <v>759</v>
      </c>
      <c r="C521" s="70" t="s">
        <v>549</v>
      </c>
      <c r="D521" s="43">
        <v>1875000</v>
      </c>
      <c r="E521" s="43">
        <v>0</v>
      </c>
      <c r="F521" s="43">
        <v>63584.77</v>
      </c>
      <c r="G521" s="43">
        <v>94007</v>
      </c>
      <c r="I521" s="293">
        <v>39900</v>
      </c>
      <c r="J521" s="293">
        <v>2002</v>
      </c>
      <c r="K521" s="293">
        <v>58999</v>
      </c>
    </row>
    <row r="522" spans="2:11" ht="13.5" thickBot="1" x14ac:dyDescent="0.25">
      <c r="B522" s="71"/>
      <c r="C522" s="72" t="s">
        <v>337</v>
      </c>
      <c r="D522" s="42">
        <f>+D520-D521</f>
        <v>0</v>
      </c>
      <c r="E522" s="42">
        <f t="shared" ref="E522:F522" si="75">+E520-E521</f>
        <v>0</v>
      </c>
      <c r="F522" s="42">
        <f t="shared" si="75"/>
        <v>-63584.77</v>
      </c>
      <c r="G522" s="42">
        <f t="shared" ref="G522" si="76">+G520-G521</f>
        <v>-94007</v>
      </c>
      <c r="I522" s="293"/>
      <c r="J522" s="293"/>
      <c r="K522" s="293"/>
    </row>
    <row r="523" spans="2:11" ht="14.25" thickTop="1" thickBot="1" x14ac:dyDescent="0.25">
      <c r="I523" s="293"/>
      <c r="J523" s="291"/>
      <c r="K523" s="291"/>
    </row>
    <row r="524" spans="2:11" ht="13.5" thickBot="1" x14ac:dyDescent="0.25">
      <c r="B524" s="425" t="s">
        <v>576</v>
      </c>
      <c r="C524" s="426"/>
      <c r="D524" s="427"/>
      <c r="E524" s="427"/>
      <c r="F524" s="427"/>
      <c r="G524" s="428"/>
      <c r="I524" s="293"/>
      <c r="J524" s="293"/>
      <c r="K524" s="293"/>
    </row>
    <row r="525" spans="2:11" x14ac:dyDescent="0.2">
      <c r="B525" s="66" t="s">
        <v>577</v>
      </c>
      <c r="C525" s="60" t="s">
        <v>453</v>
      </c>
      <c r="D525" s="9">
        <v>405000</v>
      </c>
      <c r="E525" s="76">
        <v>0</v>
      </c>
      <c r="F525" s="9">
        <v>0</v>
      </c>
      <c r="G525" s="9">
        <v>0</v>
      </c>
      <c r="I525" s="293">
        <v>30700</v>
      </c>
      <c r="J525" s="293">
        <v>1</v>
      </c>
      <c r="K525" s="293">
        <v>46060</v>
      </c>
    </row>
    <row r="526" spans="2:11" ht="13.5" thickBot="1" x14ac:dyDescent="0.25">
      <c r="B526" s="67" t="s">
        <v>578</v>
      </c>
      <c r="C526" s="68" t="s">
        <v>522</v>
      </c>
      <c r="D526" s="9">
        <v>45000</v>
      </c>
      <c r="E526" s="76">
        <v>0</v>
      </c>
      <c r="F526" s="9">
        <v>0</v>
      </c>
      <c r="G526" s="9">
        <v>0</v>
      </c>
      <c r="I526" s="293">
        <v>30700</v>
      </c>
      <c r="J526" s="293">
        <v>1</v>
      </c>
      <c r="K526" s="293">
        <v>46300</v>
      </c>
    </row>
    <row r="527" spans="2:11" ht="13.5" thickBot="1" x14ac:dyDescent="0.25">
      <c r="B527" s="69" t="s">
        <v>579</v>
      </c>
      <c r="C527" s="70" t="s">
        <v>453</v>
      </c>
      <c r="D527" s="43">
        <v>450000</v>
      </c>
      <c r="E527" s="43">
        <v>0</v>
      </c>
      <c r="F527" s="43">
        <v>0</v>
      </c>
      <c r="G527" s="43">
        <v>0</v>
      </c>
      <c r="I527" s="293">
        <v>30700</v>
      </c>
      <c r="J527" s="293">
        <v>2002</v>
      </c>
      <c r="K527" s="293">
        <v>58999</v>
      </c>
    </row>
    <row r="528" spans="2:11" ht="13.5" thickBot="1" x14ac:dyDescent="0.25">
      <c r="B528" s="71"/>
      <c r="C528" s="72" t="s">
        <v>337</v>
      </c>
      <c r="D528" s="42">
        <f t="shared" ref="D528:F528" si="77">+D525+D526-D527</f>
        <v>0</v>
      </c>
      <c r="E528" s="42">
        <f t="shared" si="77"/>
        <v>0</v>
      </c>
      <c r="F528" s="42">
        <f t="shared" si="77"/>
        <v>0</v>
      </c>
      <c r="G528" s="42">
        <f t="shared" ref="G528" si="78">+G525+G526-G527</f>
        <v>0</v>
      </c>
      <c r="I528" s="293"/>
      <c r="J528" s="293"/>
      <c r="K528" s="293"/>
    </row>
    <row r="529" spans="2:11" ht="14.25" thickTop="1" thickBot="1" x14ac:dyDescent="0.25">
      <c r="B529" s="71"/>
      <c r="C529" s="72"/>
      <c r="D529" s="18"/>
      <c r="E529" s="18"/>
      <c r="F529" s="18"/>
      <c r="G529" s="18"/>
      <c r="I529" s="293"/>
      <c r="J529" s="293"/>
      <c r="K529" s="293"/>
    </row>
    <row r="530" spans="2:11" ht="13.5" thickBot="1" x14ac:dyDescent="0.25">
      <c r="B530" s="425" t="s">
        <v>566</v>
      </c>
      <c r="C530" s="426"/>
      <c r="D530" s="427"/>
      <c r="E530" s="427"/>
      <c r="F530" s="427"/>
      <c r="G530" s="428"/>
      <c r="I530" s="293"/>
      <c r="J530" s="293"/>
      <c r="K530" s="293"/>
    </row>
    <row r="531" spans="2:11" ht="13.5" thickBot="1" x14ac:dyDescent="0.25">
      <c r="B531" s="67" t="s">
        <v>567</v>
      </c>
      <c r="C531" s="68" t="s">
        <v>568</v>
      </c>
      <c r="D531" s="9">
        <v>2500</v>
      </c>
      <c r="E531" s="76">
        <v>0</v>
      </c>
      <c r="F531" s="12">
        <v>0</v>
      </c>
      <c r="G531" s="12">
        <v>0</v>
      </c>
      <c r="I531" s="291">
        <v>30800</v>
      </c>
      <c r="J531" s="293">
        <v>1</v>
      </c>
      <c r="K531" s="293">
        <v>46060</v>
      </c>
    </row>
    <row r="532" spans="2:11" ht="13.5" thickBot="1" x14ac:dyDescent="0.25">
      <c r="B532" s="69" t="s">
        <v>569</v>
      </c>
      <c r="C532" s="70" t="s">
        <v>568</v>
      </c>
      <c r="D532" s="43">
        <v>2500</v>
      </c>
      <c r="E532" s="43">
        <v>0</v>
      </c>
      <c r="F532" s="43">
        <v>0</v>
      </c>
      <c r="G532" s="43">
        <v>0</v>
      </c>
      <c r="I532" s="293">
        <v>30800</v>
      </c>
      <c r="J532" s="291">
        <v>2002</v>
      </c>
      <c r="K532" s="291">
        <v>58999</v>
      </c>
    </row>
    <row r="533" spans="2:11" ht="13.5" thickBot="1" x14ac:dyDescent="0.25">
      <c r="B533" s="71"/>
      <c r="C533" s="72" t="s">
        <v>337</v>
      </c>
      <c r="D533" s="42">
        <f t="shared" ref="D533:F533" si="79">+D531-D532</f>
        <v>0</v>
      </c>
      <c r="E533" s="42">
        <f t="shared" si="79"/>
        <v>0</v>
      </c>
      <c r="F533" s="42">
        <f t="shared" si="79"/>
        <v>0</v>
      </c>
      <c r="G533" s="42">
        <f t="shared" ref="G533" si="80">+G531-G532</f>
        <v>0</v>
      </c>
      <c r="I533" s="293"/>
      <c r="J533" s="293"/>
      <c r="K533" s="293"/>
    </row>
    <row r="534" spans="2:11" s="36" customFormat="1" ht="14.25" thickTop="1" thickBot="1" x14ac:dyDescent="0.25">
      <c r="B534" s="97"/>
      <c r="C534" s="97"/>
      <c r="D534" s="326"/>
      <c r="E534" s="326"/>
      <c r="F534" s="326"/>
      <c r="G534" s="326"/>
      <c r="H534" s="469"/>
      <c r="I534" s="293"/>
      <c r="J534" s="293"/>
      <c r="K534" s="293"/>
    </row>
    <row r="535" spans="2:11" ht="13.5" thickBot="1" x14ac:dyDescent="0.25">
      <c r="B535" s="425" t="s">
        <v>917</v>
      </c>
      <c r="C535" s="426"/>
      <c r="D535" s="427"/>
      <c r="E535" s="427"/>
      <c r="F535" s="427"/>
      <c r="G535" s="428"/>
      <c r="I535" s="293"/>
      <c r="J535" s="293"/>
      <c r="K535" s="293"/>
    </row>
    <row r="536" spans="2:11" x14ac:dyDescent="0.2">
      <c r="B536" s="66" t="s">
        <v>918</v>
      </c>
      <c r="C536" s="60" t="s">
        <v>919</v>
      </c>
      <c r="D536" s="9">
        <v>40000</v>
      </c>
      <c r="E536" s="76">
        <v>0</v>
      </c>
      <c r="F536" s="9">
        <v>0</v>
      </c>
      <c r="G536" s="9">
        <v>0</v>
      </c>
      <c r="I536" s="293">
        <v>30700</v>
      </c>
      <c r="J536" s="293">
        <v>1</v>
      </c>
      <c r="K536" s="293">
        <v>46060</v>
      </c>
    </row>
    <row r="537" spans="2:11" ht="13.5" thickBot="1" x14ac:dyDescent="0.25">
      <c r="B537" s="422" t="s">
        <v>920</v>
      </c>
      <c r="C537" s="423" t="s">
        <v>321</v>
      </c>
      <c r="D537" s="424">
        <v>14712.13</v>
      </c>
      <c r="E537" s="339">
        <v>0</v>
      </c>
      <c r="F537" s="424">
        <v>0</v>
      </c>
      <c r="G537" s="424">
        <v>11515.38</v>
      </c>
      <c r="I537" s="293">
        <v>30700</v>
      </c>
      <c r="J537" s="293">
        <v>1</v>
      </c>
      <c r="K537" s="293">
        <v>46300</v>
      </c>
    </row>
    <row r="538" spans="2:11" ht="13.5" thickBot="1" x14ac:dyDescent="0.25">
      <c r="B538" s="69" t="s">
        <v>921</v>
      </c>
      <c r="C538" s="70" t="s">
        <v>919</v>
      </c>
      <c r="D538" s="43">
        <v>17644.72</v>
      </c>
      <c r="E538" s="43">
        <v>0</v>
      </c>
      <c r="F538" s="43">
        <v>0</v>
      </c>
      <c r="G538" s="43">
        <f>1132.95-297.78</f>
        <v>835.17000000000007</v>
      </c>
      <c r="I538" s="293">
        <v>30700</v>
      </c>
      <c r="J538" s="293">
        <v>2002</v>
      </c>
      <c r="K538" s="293">
        <v>58999</v>
      </c>
    </row>
    <row r="539" spans="2:11" ht="13.5" thickBot="1" x14ac:dyDescent="0.25">
      <c r="B539" s="71"/>
      <c r="C539" s="72" t="s">
        <v>337</v>
      </c>
      <c r="D539" s="42">
        <f t="shared" ref="D539:G539" si="81">+D536+D537-D538</f>
        <v>37067.409999999996</v>
      </c>
      <c r="E539" s="42">
        <f t="shared" si="81"/>
        <v>0</v>
      </c>
      <c r="F539" s="42">
        <f t="shared" si="81"/>
        <v>0</v>
      </c>
      <c r="G539" s="42">
        <f t="shared" si="81"/>
        <v>10680.21</v>
      </c>
      <c r="I539" s="293"/>
      <c r="J539" s="293"/>
      <c r="K539" s="293"/>
    </row>
    <row r="540" spans="2:11" ht="14.25" thickTop="1" thickBot="1" x14ac:dyDescent="0.25">
      <c r="B540" s="71"/>
      <c r="C540" s="72"/>
      <c r="D540" s="18"/>
      <c r="E540" s="18"/>
      <c r="F540" s="18"/>
      <c r="G540" s="18"/>
      <c r="I540" s="293"/>
      <c r="J540" s="293"/>
      <c r="K540" s="293"/>
    </row>
    <row r="541" spans="2:11" ht="13.5" thickBot="1" x14ac:dyDescent="0.25">
      <c r="B541" s="425" t="s">
        <v>492</v>
      </c>
      <c r="C541" s="426"/>
      <c r="D541" s="427"/>
      <c r="E541" s="427"/>
      <c r="F541" s="427"/>
      <c r="G541" s="428"/>
      <c r="I541" s="293"/>
      <c r="J541" s="293"/>
      <c r="K541" s="293"/>
    </row>
    <row r="542" spans="2:11" ht="13.5" thickBot="1" x14ac:dyDescent="0.25">
      <c r="B542" s="26" t="s">
        <v>493</v>
      </c>
      <c r="C542" s="27" t="s">
        <v>494</v>
      </c>
      <c r="D542" s="12">
        <v>1533500</v>
      </c>
      <c r="E542" s="33">
        <v>0</v>
      </c>
      <c r="F542" s="12">
        <v>0</v>
      </c>
      <c r="G542" s="12">
        <v>0</v>
      </c>
      <c r="I542" s="291">
        <v>30800</v>
      </c>
      <c r="J542" s="291">
        <v>1</v>
      </c>
      <c r="K542" s="291">
        <v>46060</v>
      </c>
    </row>
    <row r="543" spans="2:11" ht="13.5" thickBot="1" x14ac:dyDescent="0.25">
      <c r="B543" s="26" t="s">
        <v>495</v>
      </c>
      <c r="C543" s="27" t="s">
        <v>494</v>
      </c>
      <c r="D543" s="12">
        <v>1533500</v>
      </c>
      <c r="E543" s="65">
        <v>0</v>
      </c>
      <c r="F543" s="43">
        <v>276569.21000000002</v>
      </c>
      <c r="G543" s="43">
        <v>668277.76000000001</v>
      </c>
      <c r="I543" s="291">
        <v>30800</v>
      </c>
      <c r="J543" s="291">
        <v>2002</v>
      </c>
      <c r="K543" s="291">
        <v>58999</v>
      </c>
    </row>
    <row r="544" spans="2:11" ht="13.5" thickBot="1" x14ac:dyDescent="0.25">
      <c r="C544" s="15" t="s">
        <v>337</v>
      </c>
      <c r="D544" s="44">
        <f t="shared" ref="D544:F544" si="82">+D542-D543</f>
        <v>0</v>
      </c>
      <c r="E544" s="44">
        <f t="shared" si="82"/>
        <v>0</v>
      </c>
      <c r="F544" s="44">
        <f t="shared" si="82"/>
        <v>-276569.21000000002</v>
      </c>
      <c r="G544" s="44">
        <f t="shared" ref="G544" si="83">+G542-G543</f>
        <v>-668277.76000000001</v>
      </c>
      <c r="I544" s="291"/>
      <c r="J544" s="293"/>
      <c r="K544" s="293"/>
    </row>
    <row r="545" spans="2:18" ht="14.25" thickTop="1" thickBot="1" x14ac:dyDescent="0.25">
      <c r="F545" s="16"/>
      <c r="G545" s="16"/>
      <c r="I545" s="293"/>
      <c r="J545" s="293"/>
      <c r="K545" s="293"/>
    </row>
    <row r="546" spans="2:18" ht="13.5" thickBot="1" x14ac:dyDescent="0.25">
      <c r="B546" s="425" t="s">
        <v>524</v>
      </c>
      <c r="C546" s="426"/>
      <c r="D546" s="427"/>
      <c r="E546" s="427"/>
      <c r="F546" s="427"/>
      <c r="G546" s="428"/>
      <c r="I546" s="293"/>
      <c r="J546" s="291"/>
      <c r="K546" s="291"/>
    </row>
    <row r="547" spans="2:18" x14ac:dyDescent="0.2">
      <c r="B547" s="66" t="s">
        <v>525</v>
      </c>
      <c r="C547" s="60" t="s">
        <v>526</v>
      </c>
      <c r="D547" s="9">
        <v>744375</v>
      </c>
      <c r="E547" s="18">
        <v>0</v>
      </c>
      <c r="F547" s="9">
        <v>2812.5</v>
      </c>
      <c r="G547" s="9">
        <v>2812.5</v>
      </c>
      <c r="I547" s="293">
        <v>30200</v>
      </c>
      <c r="J547" s="293">
        <v>1</v>
      </c>
      <c r="K547" s="293">
        <v>46060</v>
      </c>
    </row>
    <row r="548" spans="2:18" ht="13.5" thickBot="1" x14ac:dyDescent="0.25">
      <c r="B548" s="67" t="s">
        <v>527</v>
      </c>
      <c r="C548" s="68" t="s">
        <v>528</v>
      </c>
      <c r="D548" s="9">
        <v>75000</v>
      </c>
      <c r="E548" s="18">
        <v>75000</v>
      </c>
      <c r="F548" s="12">
        <v>75000</v>
      </c>
      <c r="G548" s="12">
        <v>75000</v>
      </c>
      <c r="I548" s="293">
        <v>30200</v>
      </c>
      <c r="J548" s="293">
        <v>1</v>
      </c>
      <c r="K548" s="293">
        <v>10101</v>
      </c>
    </row>
    <row r="549" spans="2:18" ht="13.5" thickBot="1" x14ac:dyDescent="0.25">
      <c r="B549" s="69" t="s">
        <v>529</v>
      </c>
      <c r="C549" s="70" t="s">
        <v>526</v>
      </c>
      <c r="D549" s="43">
        <v>819375</v>
      </c>
      <c r="E549" s="65">
        <f>18274.76+43645.72</f>
        <v>61920.479999999996</v>
      </c>
      <c r="F549" s="43">
        <v>19981.79</v>
      </c>
      <c r="G549" s="43">
        <v>21391.95</v>
      </c>
      <c r="I549" s="293">
        <v>30200</v>
      </c>
      <c r="J549" s="293">
        <v>2002</v>
      </c>
      <c r="K549" s="293">
        <v>58999</v>
      </c>
    </row>
    <row r="550" spans="2:18" ht="13.5" thickBot="1" x14ac:dyDescent="0.25">
      <c r="B550" s="71"/>
      <c r="C550" s="72" t="s">
        <v>337</v>
      </c>
      <c r="D550" s="42">
        <f t="shared" ref="D550:F550" si="84">+D547+D548-D549</f>
        <v>0</v>
      </c>
      <c r="E550" s="42">
        <f t="shared" si="84"/>
        <v>13079.520000000004</v>
      </c>
      <c r="F550" s="42">
        <f t="shared" si="84"/>
        <v>57830.71</v>
      </c>
      <c r="G550" s="42">
        <f t="shared" ref="G550" si="85">+G547+G548-G549</f>
        <v>56420.55</v>
      </c>
      <c r="I550" s="293"/>
      <c r="J550" s="293"/>
      <c r="K550" s="293"/>
    </row>
    <row r="551" spans="2:18" ht="14.25" thickTop="1" thickBot="1" x14ac:dyDescent="0.25">
      <c r="D551" s="16"/>
      <c r="E551" s="16"/>
      <c r="F551" s="16"/>
      <c r="G551" s="16"/>
      <c r="I551" s="293"/>
      <c r="J551" s="293"/>
      <c r="K551" s="293"/>
    </row>
    <row r="552" spans="2:18" ht="13.5" thickBot="1" x14ac:dyDescent="0.25">
      <c r="B552" s="425" t="s">
        <v>500</v>
      </c>
      <c r="C552" s="426"/>
      <c r="D552" s="427"/>
      <c r="E552" s="427"/>
      <c r="F552" s="427"/>
      <c r="G552" s="428"/>
      <c r="I552" s="293"/>
      <c r="J552" s="293"/>
      <c r="K552" s="293"/>
    </row>
    <row r="553" spans="2:18" ht="13.5" thickBot="1" x14ac:dyDescent="0.25">
      <c r="B553" s="26" t="s">
        <v>501</v>
      </c>
      <c r="C553" s="27" t="s">
        <v>502</v>
      </c>
      <c r="D553" s="12">
        <v>650000</v>
      </c>
      <c r="E553" s="342">
        <v>0</v>
      </c>
      <c r="F553" s="12">
        <v>0</v>
      </c>
      <c r="G553" s="12">
        <v>0</v>
      </c>
      <c r="I553" s="291">
        <v>30800</v>
      </c>
      <c r="J553" s="293">
        <v>1</v>
      </c>
      <c r="K553" s="293">
        <v>46060</v>
      </c>
    </row>
    <row r="554" spans="2:18" ht="13.5" thickBot="1" x14ac:dyDescent="0.25">
      <c r="B554" s="26" t="s">
        <v>503</v>
      </c>
      <c r="C554" s="27" t="s">
        <v>502</v>
      </c>
      <c r="D554" s="12">
        <v>650000</v>
      </c>
      <c r="E554" s="33">
        <v>286879.49</v>
      </c>
      <c r="F554" s="12">
        <v>154397.19</v>
      </c>
      <c r="G554" s="12">
        <v>230311.6</v>
      </c>
      <c r="I554" s="293">
        <v>30800</v>
      </c>
      <c r="J554" s="291">
        <v>2002</v>
      </c>
      <c r="K554" s="291">
        <v>58999</v>
      </c>
    </row>
    <row r="555" spans="2:18" ht="13.5" thickBot="1" x14ac:dyDescent="0.25">
      <c r="C555" s="15" t="s">
        <v>337</v>
      </c>
      <c r="D555" s="44">
        <f>+D553-D554</f>
        <v>0</v>
      </c>
      <c r="E555" s="44">
        <f t="shared" ref="E555:F555" si="86">+E553-E554</f>
        <v>-286879.49</v>
      </c>
      <c r="F555" s="44">
        <f t="shared" si="86"/>
        <v>-154397.19</v>
      </c>
      <c r="G555" s="44">
        <f t="shared" ref="G555" si="87">+G553-G554</f>
        <v>-230311.6</v>
      </c>
      <c r="I555" s="293"/>
      <c r="J555" s="293"/>
      <c r="K555" s="293"/>
    </row>
    <row r="556" spans="2:18" ht="14.25" thickTop="1" thickBot="1" x14ac:dyDescent="0.25">
      <c r="F556" s="16"/>
      <c r="G556" s="16"/>
      <c r="I556" s="293"/>
      <c r="J556" s="293"/>
      <c r="K556" s="293"/>
    </row>
    <row r="557" spans="2:18" s="23" customFormat="1" ht="13.5" thickBot="1" x14ac:dyDescent="0.25">
      <c r="B557" s="425" t="s">
        <v>570</v>
      </c>
      <c r="C557" s="426"/>
      <c r="D557" s="427"/>
      <c r="E557" s="427"/>
      <c r="F557" s="427"/>
      <c r="G557" s="428"/>
      <c r="H557" s="466"/>
      <c r="I557" s="293"/>
      <c r="J557" s="293"/>
      <c r="K557" s="293"/>
      <c r="L557" s="6"/>
      <c r="M557" s="6"/>
      <c r="N557" s="6"/>
      <c r="O557" s="6"/>
      <c r="P557" s="6"/>
      <c r="Q557" s="6"/>
      <c r="R557" s="6"/>
    </row>
    <row r="558" spans="2:18" s="23" customFormat="1" x14ac:dyDescent="0.2">
      <c r="B558" s="94" t="s">
        <v>571</v>
      </c>
      <c r="C558" s="95" t="s">
        <v>321</v>
      </c>
      <c r="D558" s="50">
        <v>12500</v>
      </c>
      <c r="E558" s="308">
        <v>0</v>
      </c>
      <c r="F558" s="50">
        <v>0</v>
      </c>
      <c r="G558" s="50">
        <v>0</v>
      </c>
      <c r="H558" s="466"/>
      <c r="I558" s="293">
        <v>21600</v>
      </c>
      <c r="J558" s="293">
        <v>1</v>
      </c>
      <c r="K558" s="293">
        <v>61100</v>
      </c>
      <c r="L558" s="6"/>
      <c r="M558" s="6"/>
      <c r="N558" s="6"/>
      <c r="O558" s="6"/>
      <c r="P558" s="6"/>
      <c r="Q558" s="6"/>
      <c r="R558" s="6"/>
    </row>
    <row r="559" spans="2:18" s="23" customFormat="1" ht="13.5" thickBot="1" x14ac:dyDescent="0.25">
      <c r="B559" s="67" t="s">
        <v>572</v>
      </c>
      <c r="C559" s="68" t="s">
        <v>573</v>
      </c>
      <c r="D559" s="12">
        <v>5500</v>
      </c>
      <c r="E559" s="18">
        <v>1634.26</v>
      </c>
      <c r="F559" s="12">
        <v>3099.69</v>
      </c>
      <c r="G559" s="12">
        <v>4111.1499999999996</v>
      </c>
      <c r="H559" s="466"/>
      <c r="I559" s="293">
        <v>21600</v>
      </c>
      <c r="J559" s="293">
        <v>1</v>
      </c>
      <c r="K559" s="293">
        <v>42300</v>
      </c>
      <c r="L559" s="6"/>
      <c r="M559" s="6"/>
      <c r="N559" s="6"/>
      <c r="O559" s="6"/>
      <c r="P559" s="6"/>
      <c r="Q559" s="6"/>
      <c r="R559" s="6"/>
    </row>
    <row r="560" spans="2:18" s="23" customFormat="1" ht="13.5" thickBot="1" x14ac:dyDescent="0.25">
      <c r="B560" s="67" t="s">
        <v>574</v>
      </c>
      <c r="C560" s="68" t="s">
        <v>575</v>
      </c>
      <c r="D560" s="33">
        <v>18000</v>
      </c>
      <c r="E560" s="65">
        <v>0</v>
      </c>
      <c r="F560" s="43">
        <v>34.72</v>
      </c>
      <c r="G560" s="43">
        <v>34.72</v>
      </c>
      <c r="H560" s="466"/>
      <c r="I560" s="293">
        <v>21600</v>
      </c>
      <c r="J560" s="293">
        <v>2002</v>
      </c>
      <c r="K560" s="293">
        <v>55999</v>
      </c>
      <c r="L560" s="6"/>
      <c r="M560" s="6"/>
      <c r="N560" s="6"/>
      <c r="O560" s="6"/>
      <c r="P560" s="6"/>
      <c r="Q560" s="6"/>
      <c r="R560" s="6"/>
    </row>
    <row r="561" spans="1:18" s="23" customFormat="1" ht="13.5" thickBot="1" x14ac:dyDescent="0.25">
      <c r="B561" s="71"/>
      <c r="C561" s="72" t="s">
        <v>337</v>
      </c>
      <c r="D561" s="42">
        <f t="shared" ref="D561:F561" si="88">+D558+D559-D560</f>
        <v>0</v>
      </c>
      <c r="E561" s="42">
        <f t="shared" si="88"/>
        <v>1634.26</v>
      </c>
      <c r="F561" s="42">
        <f t="shared" si="88"/>
        <v>3064.9700000000003</v>
      </c>
      <c r="G561" s="42">
        <f t="shared" ref="G561" si="89">+G558+G559-G560</f>
        <v>4076.43</v>
      </c>
      <c r="H561" s="466"/>
      <c r="I561" s="293"/>
      <c r="J561" s="293"/>
      <c r="K561" s="293"/>
      <c r="L561" s="6"/>
      <c r="M561" s="6"/>
      <c r="N561" s="6"/>
      <c r="O561" s="6"/>
      <c r="P561" s="6"/>
      <c r="Q561" s="6"/>
      <c r="R561" s="6"/>
    </row>
    <row r="562" spans="1:18" ht="14.25" thickTop="1" thickBot="1" x14ac:dyDescent="0.25">
      <c r="C562" s="21"/>
      <c r="D562" s="18"/>
      <c r="E562" s="18"/>
      <c r="F562" s="18"/>
      <c r="G562" s="18"/>
      <c r="I562" s="293"/>
      <c r="J562" s="297"/>
      <c r="K562" s="293"/>
    </row>
    <row r="563" spans="1:18" ht="13.5" thickBot="1" x14ac:dyDescent="0.25">
      <c r="B563" s="425" t="s">
        <v>496</v>
      </c>
      <c r="C563" s="426"/>
      <c r="D563" s="427"/>
      <c r="E563" s="427"/>
      <c r="F563" s="427"/>
      <c r="G563" s="428"/>
      <c r="I563" s="293"/>
      <c r="J563" s="297"/>
      <c r="K563" s="293"/>
    </row>
    <row r="564" spans="1:18" ht="13.5" thickBot="1" x14ac:dyDescent="0.25">
      <c r="B564" s="26" t="s">
        <v>497</v>
      </c>
      <c r="C564" s="27" t="s">
        <v>498</v>
      </c>
      <c r="D564" s="12">
        <v>70000</v>
      </c>
      <c r="E564" s="33">
        <v>0</v>
      </c>
      <c r="F564" s="12">
        <v>0</v>
      </c>
      <c r="G564" s="12">
        <v>0</v>
      </c>
      <c r="I564" s="291">
        <v>30800</v>
      </c>
      <c r="J564" s="293">
        <v>1</v>
      </c>
      <c r="K564" s="293">
        <v>46060</v>
      </c>
    </row>
    <row r="565" spans="1:18" ht="13.5" thickBot="1" x14ac:dyDescent="0.25">
      <c r="A565" s="21"/>
      <c r="B565" s="26" t="s">
        <v>499</v>
      </c>
      <c r="C565" s="27" t="s">
        <v>498</v>
      </c>
      <c r="D565" s="43">
        <v>70000</v>
      </c>
      <c r="E565" s="65">
        <v>0</v>
      </c>
      <c r="F565" s="43">
        <v>70000</v>
      </c>
      <c r="G565" s="43">
        <v>70000</v>
      </c>
      <c r="I565" s="291">
        <v>30800</v>
      </c>
      <c r="J565" s="291">
        <v>2002</v>
      </c>
      <c r="K565" s="291">
        <v>58999</v>
      </c>
    </row>
    <row r="566" spans="1:18" ht="13.5" thickBot="1" x14ac:dyDescent="0.25">
      <c r="A566" s="21"/>
      <c r="C566" s="15" t="s">
        <v>337</v>
      </c>
      <c r="D566" s="44">
        <f t="shared" ref="D566:F566" si="90">+D564-D565</f>
        <v>0</v>
      </c>
      <c r="E566" s="44">
        <f t="shared" si="90"/>
        <v>0</v>
      </c>
      <c r="F566" s="44">
        <f t="shared" si="90"/>
        <v>-70000</v>
      </c>
      <c r="G566" s="44">
        <f t="shared" ref="G566" si="91">+G564-G565</f>
        <v>-70000</v>
      </c>
      <c r="I566" s="291"/>
      <c r="J566" s="293"/>
      <c r="K566" s="293"/>
    </row>
    <row r="567" spans="1:18" s="23" customFormat="1" ht="14.25" thickTop="1" thickBot="1" x14ac:dyDescent="0.25">
      <c r="A567" s="343"/>
      <c r="B567" s="71"/>
      <c r="C567" s="72"/>
      <c r="D567" s="18"/>
      <c r="E567" s="18"/>
      <c r="F567" s="18"/>
      <c r="G567" s="18"/>
      <c r="H567" s="466"/>
      <c r="I567" s="293"/>
      <c r="J567" s="293"/>
      <c r="K567" s="293"/>
      <c r="L567" s="6"/>
      <c r="M567" s="6"/>
      <c r="N567" s="6"/>
      <c r="O567" s="6"/>
      <c r="P567" s="6"/>
      <c r="Q567" s="6"/>
      <c r="R567" s="6"/>
    </row>
    <row r="568" spans="1:18" ht="13.5" thickBot="1" x14ac:dyDescent="0.25">
      <c r="A568" s="21"/>
      <c r="B568" s="429" t="s">
        <v>556</v>
      </c>
      <c r="C568" s="426"/>
      <c r="D568" s="427"/>
      <c r="E568" s="427"/>
      <c r="F568" s="427"/>
      <c r="G568" s="428"/>
      <c r="I568" s="293"/>
      <c r="J568" s="293"/>
      <c r="K568" s="293"/>
    </row>
    <row r="569" spans="1:18" x14ac:dyDescent="0.2">
      <c r="A569" s="21"/>
      <c r="B569" s="28" t="s">
        <v>557</v>
      </c>
      <c r="C569" s="73" t="s">
        <v>558</v>
      </c>
      <c r="D569" s="9">
        <v>47911.05</v>
      </c>
      <c r="E569" s="18">
        <v>0</v>
      </c>
      <c r="F569" s="9">
        <v>0</v>
      </c>
      <c r="G569" s="9">
        <v>47911.05</v>
      </c>
      <c r="I569" s="293">
        <v>30100</v>
      </c>
      <c r="J569" s="293">
        <v>1</v>
      </c>
      <c r="K569" s="293">
        <v>46200</v>
      </c>
    </row>
    <row r="570" spans="1:18" ht="13.5" thickBot="1" x14ac:dyDescent="0.25">
      <c r="A570" s="21"/>
      <c r="B570" s="26" t="s">
        <v>559</v>
      </c>
      <c r="C570" s="74" t="s">
        <v>929</v>
      </c>
      <c r="D570" s="9">
        <v>400</v>
      </c>
      <c r="E570" s="18">
        <v>0</v>
      </c>
      <c r="F570" s="12">
        <v>0</v>
      </c>
      <c r="G570" s="12">
        <f>36.16+43.93+53.27+65.31+70.04+16.89+87.36</f>
        <v>372.96000000000004</v>
      </c>
      <c r="I570" s="293">
        <v>30100</v>
      </c>
      <c r="J570" s="293">
        <v>1</v>
      </c>
      <c r="K570" s="293">
        <v>46030</v>
      </c>
    </row>
    <row r="571" spans="1:18" ht="13.5" thickBot="1" x14ac:dyDescent="0.25">
      <c r="A571" s="21"/>
      <c r="B571" s="37" t="s">
        <v>560</v>
      </c>
      <c r="C571" s="75" t="s">
        <v>561</v>
      </c>
      <c r="D571" s="43">
        <f>+D569+D570</f>
        <v>48311.05</v>
      </c>
      <c r="E571" s="65">
        <v>0</v>
      </c>
      <c r="F571" s="43">
        <v>0</v>
      </c>
      <c r="G571" s="43">
        <v>0</v>
      </c>
      <c r="I571" s="293">
        <v>30100</v>
      </c>
      <c r="J571" s="293">
        <v>2002</v>
      </c>
      <c r="K571" s="293">
        <v>58999</v>
      </c>
    </row>
    <row r="572" spans="1:18" ht="13.5" thickBot="1" x14ac:dyDescent="0.25">
      <c r="A572" s="21"/>
      <c r="B572" s="71"/>
      <c r="C572" s="72" t="s">
        <v>337</v>
      </c>
      <c r="D572" s="42">
        <f>+D569+D570-D571</f>
        <v>0</v>
      </c>
      <c r="E572" s="42">
        <f>+E569+E570-E571</f>
        <v>0</v>
      </c>
      <c r="F572" s="42">
        <f t="shared" ref="F572" si="92">+F569+F570-F571</f>
        <v>0</v>
      </c>
      <c r="G572" s="42">
        <f>+G569+G570-G571</f>
        <v>48284.01</v>
      </c>
      <c r="I572" s="293"/>
      <c r="J572" s="291"/>
      <c r="K572" s="291"/>
    </row>
    <row r="573" spans="1:18" ht="14.25" thickTop="1" thickBot="1" x14ac:dyDescent="0.25">
      <c r="A573" s="21"/>
      <c r="F573" s="16"/>
      <c r="G573" s="16"/>
      <c r="I573" s="293"/>
      <c r="J573" s="293"/>
      <c r="K573" s="293"/>
    </row>
    <row r="574" spans="1:18" ht="13.5" thickBot="1" x14ac:dyDescent="0.25">
      <c r="A574" s="21"/>
      <c r="B574" s="429" t="s">
        <v>550</v>
      </c>
      <c r="C574" s="426"/>
      <c r="D574" s="427"/>
      <c r="E574" s="427"/>
      <c r="F574" s="427"/>
      <c r="G574" s="428"/>
      <c r="I574" s="293"/>
      <c r="J574" s="293"/>
      <c r="K574" s="293"/>
    </row>
    <row r="575" spans="1:18" x14ac:dyDescent="0.2">
      <c r="A575" s="21"/>
      <c r="B575" s="66" t="s">
        <v>551</v>
      </c>
      <c r="C575" s="60" t="s">
        <v>552</v>
      </c>
      <c r="D575" s="9">
        <v>60095.66</v>
      </c>
      <c r="E575" s="283">
        <v>0</v>
      </c>
      <c r="F575" s="9">
        <v>0</v>
      </c>
      <c r="G575" s="9">
        <v>60095.66</v>
      </c>
      <c r="I575" s="293">
        <v>30100</v>
      </c>
      <c r="J575" s="293">
        <v>1</v>
      </c>
      <c r="K575" s="293">
        <v>46200</v>
      </c>
    </row>
    <row r="576" spans="1:18" ht="13.5" thickBot="1" x14ac:dyDescent="0.25">
      <c r="A576" s="21"/>
      <c r="B576" s="67" t="s">
        <v>553</v>
      </c>
      <c r="C576" s="68" t="s">
        <v>928</v>
      </c>
      <c r="D576" s="9">
        <v>400</v>
      </c>
      <c r="E576" s="283">
        <v>0</v>
      </c>
      <c r="F576" s="12">
        <v>0</v>
      </c>
      <c r="G576" s="12">
        <f>30.99+5.99+24.86+23.18+18.9+15.59+23.31</f>
        <v>142.82</v>
      </c>
      <c r="I576" s="293">
        <v>30100</v>
      </c>
      <c r="J576" s="293">
        <v>1</v>
      </c>
      <c r="K576" s="293">
        <v>46030</v>
      </c>
    </row>
    <row r="577" spans="1:18" ht="13.5" thickBot="1" x14ac:dyDescent="0.25">
      <c r="A577" s="21"/>
      <c r="B577" s="67" t="s">
        <v>554</v>
      </c>
      <c r="C577" s="68" t="s">
        <v>555</v>
      </c>
      <c r="D577" s="43">
        <f>+D575+D576</f>
        <v>60495.66</v>
      </c>
      <c r="E577" s="65">
        <v>0</v>
      </c>
      <c r="F577" s="43">
        <v>0</v>
      </c>
      <c r="G577" s="43">
        <v>43108.639999999999</v>
      </c>
      <c r="I577" s="293">
        <v>30100</v>
      </c>
      <c r="J577" s="293">
        <v>2002</v>
      </c>
      <c r="K577" s="293">
        <v>58999</v>
      </c>
    </row>
    <row r="578" spans="1:18" ht="13.5" thickBot="1" x14ac:dyDescent="0.25">
      <c r="A578" s="21"/>
      <c r="B578" s="71"/>
      <c r="C578" s="72" t="s">
        <v>337</v>
      </c>
      <c r="D578" s="42">
        <f>+D575+D576-D577</f>
        <v>0</v>
      </c>
      <c r="E578" s="42">
        <f t="shared" ref="E578:G578" si="93">+E575+E576-E577</f>
        <v>0</v>
      </c>
      <c r="F578" s="42">
        <f t="shared" si="93"/>
        <v>0</v>
      </c>
      <c r="G578" s="42">
        <f t="shared" si="93"/>
        <v>17129.840000000004</v>
      </c>
      <c r="I578" s="293"/>
      <c r="J578" s="293"/>
      <c r="K578" s="293"/>
    </row>
    <row r="579" spans="1:18" ht="14.25" thickTop="1" thickBot="1" x14ac:dyDescent="0.25">
      <c r="C579" s="15"/>
      <c r="D579" s="16"/>
      <c r="E579" s="16"/>
      <c r="F579" s="16"/>
      <c r="G579" s="16"/>
      <c r="I579" s="293"/>
      <c r="J579" s="293"/>
      <c r="K579" s="293"/>
    </row>
    <row r="580" spans="1:18" ht="13.5" thickBot="1" x14ac:dyDescent="0.25">
      <c r="B580" s="425" t="s">
        <v>504</v>
      </c>
      <c r="C580" s="426"/>
      <c r="D580" s="427"/>
      <c r="E580" s="427"/>
      <c r="F580" s="427"/>
      <c r="G580" s="428"/>
      <c r="I580" s="293"/>
      <c r="J580" s="293"/>
      <c r="K580" s="293"/>
    </row>
    <row r="581" spans="1:18" ht="13.5" thickBot="1" x14ac:dyDescent="0.25">
      <c r="B581" s="26" t="s">
        <v>505</v>
      </c>
      <c r="C581" s="27" t="s">
        <v>506</v>
      </c>
      <c r="D581" s="9">
        <v>100000</v>
      </c>
      <c r="E581" s="18">
        <v>0</v>
      </c>
      <c r="F581" s="12">
        <v>0</v>
      </c>
      <c r="G581" s="12">
        <v>94168.72</v>
      </c>
      <c r="I581" s="291">
        <v>30800</v>
      </c>
      <c r="J581" s="293">
        <v>1</v>
      </c>
      <c r="K581" s="293">
        <v>46060</v>
      </c>
    </row>
    <row r="582" spans="1:18" ht="13.5" thickBot="1" x14ac:dyDescent="0.25">
      <c r="B582" s="26" t="s">
        <v>507</v>
      </c>
      <c r="C582" s="27" t="s">
        <v>506</v>
      </c>
      <c r="D582" s="43">
        <v>100000</v>
      </c>
      <c r="E582" s="65">
        <v>-100000</v>
      </c>
      <c r="F582" s="43">
        <v>100000</v>
      </c>
      <c r="G582" s="43">
        <v>100000</v>
      </c>
      <c r="I582" s="293">
        <v>30800</v>
      </c>
      <c r="J582" s="291">
        <v>2002</v>
      </c>
      <c r="K582" s="291">
        <v>58999</v>
      </c>
    </row>
    <row r="583" spans="1:18" ht="13.5" thickBot="1" x14ac:dyDescent="0.25">
      <c r="C583" s="15" t="s">
        <v>337</v>
      </c>
      <c r="D583" s="44">
        <f t="shared" ref="D583:F583" si="94">+D581-D582</f>
        <v>0</v>
      </c>
      <c r="E583" s="44">
        <f t="shared" si="94"/>
        <v>100000</v>
      </c>
      <c r="F583" s="44">
        <f t="shared" si="94"/>
        <v>-100000</v>
      </c>
      <c r="G583" s="44">
        <f t="shared" ref="G583" si="95">+G581-G582</f>
        <v>-5831.2799999999988</v>
      </c>
      <c r="I583" s="293"/>
      <c r="J583" s="293"/>
      <c r="K583" s="293"/>
    </row>
    <row r="584" spans="1:18" ht="14.25" thickTop="1" thickBot="1" x14ac:dyDescent="0.25">
      <c r="F584" s="16"/>
      <c r="G584" s="16"/>
      <c r="I584" s="293"/>
      <c r="J584" s="293"/>
      <c r="K584" s="293"/>
    </row>
    <row r="585" spans="1:18" ht="13.5" thickBot="1" x14ac:dyDescent="0.25">
      <c r="B585" s="425" t="s">
        <v>516</v>
      </c>
      <c r="C585" s="426"/>
      <c r="D585" s="427"/>
      <c r="E585" s="427"/>
      <c r="F585" s="427"/>
      <c r="G585" s="428"/>
      <c r="I585" s="293"/>
      <c r="J585" s="293"/>
      <c r="K585" s="293"/>
    </row>
    <row r="586" spans="1:18" x14ac:dyDescent="0.2">
      <c r="B586" s="66" t="s">
        <v>517</v>
      </c>
      <c r="C586" s="60" t="s">
        <v>518</v>
      </c>
      <c r="D586" s="9">
        <v>1170000</v>
      </c>
      <c r="E586" s="18">
        <v>0</v>
      </c>
      <c r="F586" s="9">
        <v>0</v>
      </c>
      <c r="G586" s="9">
        <v>0</v>
      </c>
      <c r="I586" s="291">
        <v>30800</v>
      </c>
      <c r="J586" s="293">
        <v>1</v>
      </c>
      <c r="K586" s="293">
        <v>46060</v>
      </c>
    </row>
    <row r="587" spans="1:18" x14ac:dyDescent="0.2">
      <c r="B587" s="94" t="s">
        <v>519</v>
      </c>
      <c r="C587" s="95" t="s">
        <v>520</v>
      </c>
      <c r="D587" s="50">
        <v>130000</v>
      </c>
      <c r="E587" s="308">
        <v>0</v>
      </c>
      <c r="F587" s="50">
        <v>0</v>
      </c>
      <c r="G587" s="50">
        <v>0</v>
      </c>
      <c r="I587" s="293">
        <v>30800</v>
      </c>
      <c r="J587" s="293">
        <v>1</v>
      </c>
      <c r="K587" s="293">
        <v>61100</v>
      </c>
    </row>
    <row r="588" spans="1:18" ht="13.5" thickBot="1" x14ac:dyDescent="0.25">
      <c r="B588" s="67" t="s">
        <v>521</v>
      </c>
      <c r="C588" s="68" t="s">
        <v>522</v>
      </c>
      <c r="D588" s="9">
        <v>130000</v>
      </c>
      <c r="E588" s="18">
        <v>0</v>
      </c>
      <c r="F588" s="12">
        <v>0</v>
      </c>
      <c r="G588" s="12">
        <v>0</v>
      </c>
      <c r="I588" s="291">
        <v>30800</v>
      </c>
      <c r="J588" s="293">
        <v>1</v>
      </c>
      <c r="K588" s="293">
        <v>46300</v>
      </c>
    </row>
    <row r="589" spans="1:18" ht="13.5" thickBot="1" x14ac:dyDescent="0.25">
      <c r="B589" s="69" t="s">
        <v>523</v>
      </c>
      <c r="C589" s="70" t="s">
        <v>518</v>
      </c>
      <c r="D589" s="43">
        <v>1430000</v>
      </c>
      <c r="E589" s="65">
        <v>0</v>
      </c>
      <c r="F589" s="43">
        <v>0</v>
      </c>
      <c r="G589" s="43">
        <v>0</v>
      </c>
      <c r="I589" s="293">
        <v>30800</v>
      </c>
      <c r="J589" s="291">
        <v>2002</v>
      </c>
      <c r="K589" s="291">
        <v>58999</v>
      </c>
    </row>
    <row r="590" spans="1:18" ht="13.5" thickBot="1" x14ac:dyDescent="0.25">
      <c r="B590" s="71"/>
      <c r="C590" s="72" t="s">
        <v>337</v>
      </c>
      <c r="D590" s="42">
        <f t="shared" ref="D590:F590" ca="1" si="96">-D590+D586+D587+D588-D589</f>
        <v>0</v>
      </c>
      <c r="E590" s="42">
        <f t="shared" ca="1" si="96"/>
        <v>0</v>
      </c>
      <c r="F590" s="42">
        <f t="shared" ca="1" si="96"/>
        <v>0</v>
      </c>
      <c r="G590" s="42">
        <f t="shared" ref="G590" ca="1" si="97">-G590+G586+G587+G588-G589</f>
        <v>0</v>
      </c>
    </row>
    <row r="591" spans="1:18" s="23" customFormat="1" ht="14.25" thickTop="1" thickBot="1" x14ac:dyDescent="0.25">
      <c r="B591" s="21"/>
      <c r="C591" s="6"/>
      <c r="D591" s="22"/>
      <c r="E591" s="22"/>
      <c r="F591" s="16"/>
      <c r="G591" s="16"/>
      <c r="H591" s="466"/>
      <c r="L591" s="6"/>
      <c r="M591" s="6"/>
      <c r="N591" s="6"/>
      <c r="O591" s="6"/>
      <c r="P591" s="6"/>
      <c r="Q591" s="6"/>
      <c r="R591" s="6"/>
    </row>
    <row r="592" spans="1:18" ht="13.5" thickBot="1" x14ac:dyDescent="0.25">
      <c r="B592" s="425" t="s">
        <v>562</v>
      </c>
      <c r="C592" s="426"/>
      <c r="D592" s="427"/>
      <c r="E592" s="427"/>
      <c r="F592" s="427"/>
      <c r="G592" s="428"/>
    </row>
    <row r="593" spans="2:11" ht="13.5" thickBot="1" x14ac:dyDescent="0.25">
      <c r="B593" s="67" t="s">
        <v>563</v>
      </c>
      <c r="C593" s="68" t="s">
        <v>564</v>
      </c>
      <c r="D593" s="283">
        <v>4840</v>
      </c>
      <c r="E593" s="33">
        <v>2401.3200000000002</v>
      </c>
      <c r="F593" s="12">
        <v>2401.3200000000002</v>
      </c>
      <c r="G593" s="12">
        <v>2401.3200000000002</v>
      </c>
      <c r="I593" s="291">
        <v>30800</v>
      </c>
      <c r="J593" s="293">
        <v>1</v>
      </c>
      <c r="K593" s="293">
        <v>46060</v>
      </c>
    </row>
    <row r="594" spans="2:11" ht="13.5" thickBot="1" x14ac:dyDescent="0.25">
      <c r="B594" s="69" t="s">
        <v>565</v>
      </c>
      <c r="C594" s="70" t="s">
        <v>564</v>
      </c>
      <c r="D594" s="43">
        <v>4840</v>
      </c>
      <c r="E594" s="342">
        <v>490.74</v>
      </c>
      <c r="F594" s="43">
        <v>490.74</v>
      </c>
      <c r="G594" s="43">
        <v>490.74</v>
      </c>
      <c r="I594" s="293">
        <v>30800</v>
      </c>
      <c r="J594" s="293">
        <v>2002</v>
      </c>
      <c r="K594" s="293">
        <v>51900</v>
      </c>
    </row>
    <row r="595" spans="2:11" ht="13.5" thickBot="1" x14ac:dyDescent="0.25">
      <c r="B595" s="71"/>
      <c r="C595" s="72" t="s">
        <v>337</v>
      </c>
      <c r="D595" s="42">
        <f t="shared" ref="D595:F595" si="98">+D593-D594</f>
        <v>0</v>
      </c>
      <c r="E595" s="42">
        <f t="shared" si="98"/>
        <v>1910.5800000000002</v>
      </c>
      <c r="F595" s="42">
        <f t="shared" si="98"/>
        <v>1910.5800000000002</v>
      </c>
      <c r="G595" s="42">
        <f t="shared" ref="G595" si="99">+G593-G594</f>
        <v>1910.5800000000002</v>
      </c>
    </row>
    <row r="596" spans="2:11" ht="13.5" thickTop="1" x14ac:dyDescent="0.2">
      <c r="F596" s="16"/>
      <c r="G596" s="16"/>
    </row>
    <row r="597" spans="2:11" x14ac:dyDescent="0.2">
      <c r="F597" s="16"/>
      <c r="G597" s="16"/>
    </row>
  </sheetData>
  <autoFilter ref="B1:D473" xr:uid="{00000000-0009-0000-0000-000000000000}"/>
  <mergeCells count="1">
    <mergeCell ref="B28:C28"/>
  </mergeCells>
  <printOptions horizontalCentered="1" gridLines="1"/>
  <pageMargins left="0.25" right="0.25" top="0.75" bottom="0.75" header="0.3" footer="0.3"/>
  <pageSetup fitToHeight="0" orientation="portrait" r:id="rId1"/>
  <headerFooter>
    <oddHeader>&amp;L&amp;"Arial,Bold"&amp;11City of Anthony, NM&amp;C&amp;"Arial,Bold"&amp;11FISCAL YEAR 2022 - 2023&amp;R&amp;"Arial,Bold"APR 2023</oddHeader>
    <oddFooter>&amp;C&amp;"Arial,Bold"Page &amp;P</oddFooter>
  </headerFooter>
  <rowBreaks count="21" manualBreakCount="21">
    <brk id="28" max="16383" man="1"/>
    <brk id="46" max="16383" man="1"/>
    <brk id="66" max="16383" man="1"/>
    <brk id="87" max="16383" man="1"/>
    <brk id="111" max="16383" man="1"/>
    <brk id="151" max="16383" man="1"/>
    <brk id="170" max="16383" man="1"/>
    <brk id="191" max="16383" man="1"/>
    <brk id="205" max="16383" man="1"/>
    <brk id="226" max="16383" man="1"/>
    <brk id="248" max="16383" man="1"/>
    <brk id="273" max="16383" man="1"/>
    <brk id="292" max="16383" man="1"/>
    <brk id="343" max="16383" man="1"/>
    <brk id="379" max="16383" man="1"/>
    <brk id="420" max="16383" man="1"/>
    <brk id="453" max="16383" man="1"/>
    <brk id="474" max="16383" man="1"/>
    <brk id="512" max="16383" man="1"/>
    <brk id="555" max="16383" man="1"/>
    <brk id="59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V122"/>
  <sheetViews>
    <sheetView zoomScale="85" zoomScaleNormal="85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B56" sqref="B56:O56"/>
    </sheetView>
  </sheetViews>
  <sheetFormatPr defaultColWidth="9.140625" defaultRowHeight="15" x14ac:dyDescent="0.25"/>
  <cols>
    <col min="1" max="1" width="7.7109375" style="130" bestFit="1" customWidth="1"/>
    <col min="2" max="2" width="25.28515625" style="120" customWidth="1"/>
    <col min="3" max="3" width="29.42578125" style="120" customWidth="1"/>
    <col min="4" max="4" width="41.7109375" style="120" customWidth="1"/>
    <col min="5" max="5" width="13.7109375" style="120" customWidth="1"/>
    <col min="6" max="6" width="10.5703125" style="139" customWidth="1"/>
    <col min="7" max="7" width="7.85546875" style="134" bestFit="1" customWidth="1"/>
    <col min="8" max="8" width="8.140625" style="134" customWidth="1"/>
    <col min="9" max="9" width="16.7109375" style="174" bestFit="1" customWidth="1"/>
    <col min="10" max="10" width="22.140625" style="121" bestFit="1" customWidth="1"/>
    <col min="11" max="11" width="11" style="121" customWidth="1"/>
    <col min="12" max="12" width="9.28515625" style="121" customWidth="1"/>
    <col min="13" max="13" width="12.140625" style="121" bestFit="1" customWidth="1"/>
    <col min="14" max="14" width="11" style="121" customWidth="1"/>
    <col min="15" max="15" width="14.5703125" style="121" bestFit="1" customWidth="1"/>
    <col min="16" max="16" width="11.7109375" style="121" customWidth="1"/>
    <col min="17" max="17" width="14.7109375" style="121" bestFit="1" customWidth="1"/>
    <col min="18" max="18" width="11.140625" style="121" customWidth="1"/>
    <col min="19" max="19" width="16.5703125" style="121" bestFit="1" customWidth="1"/>
    <col min="20" max="20" width="9.140625" style="120"/>
    <col min="21" max="21" width="12.5703125" style="120" bestFit="1" customWidth="1"/>
    <col min="22" max="16384" width="9.140625" style="120"/>
  </cols>
  <sheetData>
    <row r="1" spans="1:19" s="108" customFormat="1" ht="60" customHeight="1" x14ac:dyDescent="0.2">
      <c r="A1" s="100"/>
      <c r="B1" s="101" t="s">
        <v>591</v>
      </c>
      <c r="C1" s="101" t="s">
        <v>592</v>
      </c>
      <c r="D1" s="101" t="s">
        <v>593</v>
      </c>
      <c r="E1" s="101" t="s">
        <v>594</v>
      </c>
      <c r="F1" s="445" t="s">
        <v>914</v>
      </c>
      <c r="G1" s="103" t="s">
        <v>596</v>
      </c>
      <c r="H1" s="103" t="s">
        <v>597</v>
      </c>
      <c r="I1" s="435" t="s">
        <v>601</v>
      </c>
      <c r="J1" s="106" t="s">
        <v>201</v>
      </c>
      <c r="K1" s="435" t="s">
        <v>602</v>
      </c>
      <c r="L1" s="475" t="s">
        <v>603</v>
      </c>
      <c r="M1" s="475"/>
      <c r="N1" s="435" t="s">
        <v>604</v>
      </c>
      <c r="O1" s="435" t="s">
        <v>605</v>
      </c>
      <c r="P1" s="435" t="s">
        <v>606</v>
      </c>
      <c r="Q1" s="435" t="s">
        <v>607</v>
      </c>
      <c r="R1" s="435" t="s">
        <v>608</v>
      </c>
      <c r="S1" s="107" t="s">
        <v>609</v>
      </c>
    </row>
    <row r="2" spans="1:19" x14ac:dyDescent="0.25">
      <c r="A2" s="109"/>
      <c r="B2" s="110"/>
      <c r="C2" s="110"/>
      <c r="D2" s="110"/>
      <c r="E2" s="110"/>
      <c r="F2" s="111"/>
      <c r="G2" s="112"/>
      <c r="H2" s="112"/>
      <c r="I2" s="115"/>
      <c r="J2" s="116"/>
      <c r="K2" s="117"/>
      <c r="L2" s="118">
        <v>8.1500000000000003E-2</v>
      </c>
      <c r="M2" s="119">
        <v>0.1115</v>
      </c>
      <c r="N2" s="117"/>
      <c r="O2" s="117"/>
      <c r="P2" s="117"/>
      <c r="Q2" s="117"/>
      <c r="R2" s="117"/>
      <c r="S2" s="117"/>
    </row>
    <row r="3" spans="1:19" x14ac:dyDescent="0.25">
      <c r="A3" s="122"/>
      <c r="B3" s="123" t="s">
        <v>610</v>
      </c>
      <c r="C3" s="124"/>
      <c r="D3" s="124"/>
      <c r="E3" s="124"/>
      <c r="F3" s="125"/>
      <c r="G3" s="126"/>
      <c r="H3" s="126"/>
      <c r="I3" s="129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x14ac:dyDescent="0.25">
      <c r="A4" s="130">
        <v>1</v>
      </c>
      <c r="B4" s="131" t="s">
        <v>611</v>
      </c>
      <c r="C4" s="120" t="s">
        <v>612</v>
      </c>
      <c r="D4" s="132" t="s">
        <v>613</v>
      </c>
      <c r="E4" s="120" t="s">
        <v>614</v>
      </c>
      <c r="F4" s="133">
        <v>16</v>
      </c>
      <c r="G4" s="134">
        <v>80</v>
      </c>
      <c r="H4" s="134">
        <v>26</v>
      </c>
      <c r="I4" s="137">
        <f>+G4*H4*F4</f>
        <v>33280</v>
      </c>
      <c r="J4" s="135">
        <f>+I4*1.45%</f>
        <v>482.55999999999995</v>
      </c>
      <c r="K4" s="135">
        <f>+I4*0.35%</f>
        <v>116.47999999999999</v>
      </c>
      <c r="L4" s="476">
        <f>+I4*L$2</f>
        <v>2712.32</v>
      </c>
      <c r="M4" s="476"/>
      <c r="N4" s="135">
        <f>2.3*4</f>
        <v>9.1999999999999993</v>
      </c>
      <c r="O4" s="135">
        <f>215.97*24</f>
        <v>5183.28</v>
      </c>
      <c r="P4" s="135">
        <f>29.96*12</f>
        <v>359.52</v>
      </c>
      <c r="Q4" s="135">
        <f>6.464*12</f>
        <v>77.568000000000012</v>
      </c>
      <c r="R4" s="135">
        <f>3.65*26</f>
        <v>94.899999999999991</v>
      </c>
      <c r="S4" s="135">
        <f>SUM(I4:R4)</f>
        <v>42315.827999999994</v>
      </c>
    </row>
    <row r="5" spans="1:19" x14ac:dyDescent="0.25">
      <c r="A5" s="130">
        <v>2</v>
      </c>
      <c r="B5" s="120" t="s">
        <v>615</v>
      </c>
      <c r="C5" s="120" t="s">
        <v>612</v>
      </c>
      <c r="D5" s="132" t="s">
        <v>616</v>
      </c>
      <c r="E5" s="120" t="s">
        <v>617</v>
      </c>
      <c r="F5" s="139">
        <v>15.75</v>
      </c>
      <c r="G5" s="134">
        <v>80</v>
      </c>
      <c r="H5" s="134">
        <v>26</v>
      </c>
      <c r="I5" s="137">
        <f>+G5*H5*F5</f>
        <v>32760</v>
      </c>
      <c r="J5" s="135">
        <f>+I5*1.45%</f>
        <v>475.02</v>
      </c>
      <c r="K5" s="135">
        <f>+I5*0.35%</f>
        <v>114.65999999999998</v>
      </c>
      <c r="L5" s="476">
        <f>+I5*L$2</f>
        <v>2669.94</v>
      </c>
      <c r="M5" s="476"/>
      <c r="N5" s="135">
        <f>2.3*4</f>
        <v>9.1999999999999993</v>
      </c>
      <c r="O5" s="135">
        <v>0</v>
      </c>
      <c r="P5" s="135">
        <v>0</v>
      </c>
      <c r="Q5" s="135">
        <v>0</v>
      </c>
      <c r="R5" s="135">
        <f>3.65*26</f>
        <v>94.899999999999991</v>
      </c>
      <c r="S5" s="135">
        <f>SUM(I5:R5)</f>
        <v>36123.72</v>
      </c>
    </row>
    <row r="6" spans="1:19" x14ac:dyDescent="0.25">
      <c r="A6" s="141">
        <v>3</v>
      </c>
      <c r="B6" s="131" t="s">
        <v>618</v>
      </c>
      <c r="C6" s="120" t="s">
        <v>612</v>
      </c>
      <c r="D6" s="132" t="s">
        <v>619</v>
      </c>
      <c r="E6" s="120" t="s">
        <v>617</v>
      </c>
      <c r="F6" s="139">
        <v>14.5</v>
      </c>
      <c r="G6" s="134">
        <v>80</v>
      </c>
      <c r="H6" s="134">
        <v>26</v>
      </c>
      <c r="I6" s="137">
        <f>+G6*H6*F6</f>
        <v>30160</v>
      </c>
      <c r="J6" s="135">
        <f>+I6*1.45%</f>
        <v>437.32</v>
      </c>
      <c r="K6" s="135">
        <f>+I6*0.35%</f>
        <v>105.55999999999999</v>
      </c>
      <c r="L6" s="476">
        <f>+I6*L$2</f>
        <v>2458.04</v>
      </c>
      <c r="M6" s="476"/>
      <c r="N6" s="121">
        <f>2.3*4</f>
        <v>9.1999999999999993</v>
      </c>
      <c r="O6" s="121">
        <v>0</v>
      </c>
      <c r="P6" s="121">
        <v>0</v>
      </c>
      <c r="Q6" s="121">
        <v>0</v>
      </c>
      <c r="R6" s="121">
        <f>3.65*26</f>
        <v>94.899999999999991</v>
      </c>
      <c r="S6" s="121">
        <f>SUM(I6:R6)</f>
        <v>33265.019999999997</v>
      </c>
    </row>
    <row r="7" spans="1:19" x14ac:dyDescent="0.25">
      <c r="A7" s="143"/>
      <c r="B7" s="144"/>
      <c r="C7" s="144"/>
      <c r="D7" s="145"/>
      <c r="E7" s="144"/>
      <c r="F7" s="146"/>
      <c r="G7" s="147"/>
      <c r="H7" s="147"/>
      <c r="I7" s="150">
        <f>+SUM(I4:I6)</f>
        <v>96200</v>
      </c>
      <c r="J7" s="150">
        <f>+SUM(J4:J6)</f>
        <v>1394.8999999999999</v>
      </c>
      <c r="K7" s="150">
        <f>+SUM(K4:K6)</f>
        <v>336.7</v>
      </c>
      <c r="L7" s="150"/>
      <c r="M7" s="150">
        <f>+L4+L5+L6</f>
        <v>7840.3</v>
      </c>
      <c r="N7" s="150">
        <f t="shared" ref="N7:S7" si="0">+SUM(N4:N6)</f>
        <v>27.599999999999998</v>
      </c>
      <c r="O7" s="150">
        <f t="shared" si="0"/>
        <v>5183.28</v>
      </c>
      <c r="P7" s="150">
        <f t="shared" si="0"/>
        <v>359.52</v>
      </c>
      <c r="Q7" s="150">
        <f t="shared" si="0"/>
        <v>77.568000000000012</v>
      </c>
      <c r="R7" s="150">
        <f t="shared" si="0"/>
        <v>284.7</v>
      </c>
      <c r="S7" s="150">
        <f t="shared" si="0"/>
        <v>111704.568</v>
      </c>
    </row>
    <row r="8" spans="1:19" x14ac:dyDescent="0.25">
      <c r="A8" s="151"/>
      <c r="B8" s="152" t="s">
        <v>620</v>
      </c>
      <c r="C8" s="152"/>
      <c r="D8" s="153"/>
      <c r="E8" s="154"/>
      <c r="F8" s="155"/>
      <c r="G8" s="156"/>
      <c r="H8" s="156"/>
      <c r="I8" s="159"/>
      <c r="J8" s="157"/>
      <c r="K8" s="157"/>
      <c r="L8" s="160"/>
      <c r="M8" s="160"/>
      <c r="N8" s="157"/>
      <c r="O8" s="157"/>
      <c r="P8" s="157"/>
      <c r="Q8" s="157"/>
      <c r="R8" s="157"/>
      <c r="S8" s="157"/>
    </row>
    <row r="9" spans="1:19" x14ac:dyDescent="0.25">
      <c r="A9" s="130">
        <v>4</v>
      </c>
      <c r="B9" s="120" t="s">
        <v>621</v>
      </c>
      <c r="C9" s="120" t="s">
        <v>622</v>
      </c>
      <c r="D9" s="132" t="s">
        <v>623</v>
      </c>
      <c r="E9" s="120" t="s">
        <v>624</v>
      </c>
      <c r="F9" s="139">
        <v>1380</v>
      </c>
      <c r="G9" s="134">
        <v>1</v>
      </c>
      <c r="H9" s="134">
        <v>12</v>
      </c>
      <c r="I9" s="137">
        <f>+H9*G9*F9</f>
        <v>16560</v>
      </c>
      <c r="J9" s="135">
        <f>+I9*7.65%</f>
        <v>1266.8399999999999</v>
      </c>
      <c r="K9" s="135">
        <v>0</v>
      </c>
      <c r="L9" s="476">
        <v>0</v>
      </c>
      <c r="M9" s="476"/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f>SUM(I9:R9)</f>
        <v>17826.84</v>
      </c>
    </row>
    <row r="10" spans="1:19" x14ac:dyDescent="0.25">
      <c r="A10" s="143"/>
      <c r="B10" s="144"/>
      <c r="C10" s="144"/>
      <c r="D10" s="144"/>
      <c r="E10" s="144"/>
      <c r="F10" s="146"/>
      <c r="G10" s="147"/>
      <c r="H10" s="147"/>
      <c r="I10" s="162">
        <f>+I9</f>
        <v>16560</v>
      </c>
      <c r="J10" s="163">
        <f>+J9</f>
        <v>1266.8399999999999</v>
      </c>
      <c r="K10" s="163">
        <v>0</v>
      </c>
      <c r="L10" s="477">
        <v>0</v>
      </c>
      <c r="M10" s="477"/>
      <c r="N10" s="163"/>
      <c r="O10" s="163">
        <v>0</v>
      </c>
      <c r="P10" s="163">
        <v>0</v>
      </c>
      <c r="Q10" s="163">
        <v>0</v>
      </c>
      <c r="R10" s="163">
        <v>0</v>
      </c>
      <c r="S10" s="163">
        <f>+S9</f>
        <v>17826.84</v>
      </c>
    </row>
    <row r="11" spans="1:19" x14ac:dyDescent="0.25">
      <c r="A11" s="164"/>
      <c r="B11" s="165" t="s">
        <v>625</v>
      </c>
      <c r="C11" s="166"/>
      <c r="D11" s="167"/>
      <c r="E11" s="166"/>
      <c r="F11" s="168"/>
      <c r="G11" s="169"/>
      <c r="H11" s="169"/>
      <c r="I11" s="172"/>
      <c r="J11" s="170"/>
      <c r="K11" s="170"/>
      <c r="L11" s="173"/>
      <c r="M11" s="173"/>
      <c r="N11" s="170"/>
      <c r="O11" s="170"/>
      <c r="P11" s="170"/>
      <c r="Q11" s="170"/>
      <c r="R11" s="170"/>
      <c r="S11" s="170"/>
    </row>
    <row r="12" spans="1:19" x14ac:dyDescent="0.25">
      <c r="A12" s="130">
        <v>5</v>
      </c>
      <c r="B12" s="120" t="s">
        <v>751</v>
      </c>
      <c r="C12" s="120" t="s">
        <v>612</v>
      </c>
      <c r="D12" s="132" t="s">
        <v>627</v>
      </c>
      <c r="E12" s="120" t="s">
        <v>617</v>
      </c>
      <c r="F12" s="139">
        <v>27.75</v>
      </c>
      <c r="G12" s="134">
        <v>80</v>
      </c>
      <c r="H12" s="134">
        <v>26</v>
      </c>
      <c r="I12" s="174">
        <f>+G12*H12*F12</f>
        <v>57720</v>
      </c>
      <c r="J12" s="135">
        <f>+I12*1.45%</f>
        <v>836.93999999999994</v>
      </c>
      <c r="K12" s="121">
        <f>+I12*0.35%</f>
        <v>202.01999999999998</v>
      </c>
      <c r="L12" s="478">
        <f>+I12*L$2</f>
        <v>4704.18</v>
      </c>
      <c r="M12" s="478"/>
      <c r="N12" s="121">
        <f>2.3*4</f>
        <v>9.1999999999999993</v>
      </c>
      <c r="O12" s="121">
        <v>0</v>
      </c>
      <c r="P12" s="121">
        <f>63.53*12</f>
        <v>762.36</v>
      </c>
      <c r="Q12" s="121">
        <v>0</v>
      </c>
      <c r="R12" s="121">
        <f>3.65*26</f>
        <v>94.899999999999991</v>
      </c>
      <c r="S12" s="121">
        <f>SUM(I12:R12)</f>
        <v>64329.599999999999</v>
      </c>
    </row>
    <row r="13" spans="1:19" x14ac:dyDescent="0.25">
      <c r="A13" s="130">
        <v>6</v>
      </c>
      <c r="B13" s="120" t="s">
        <v>752</v>
      </c>
      <c r="C13" s="120" t="s">
        <v>612</v>
      </c>
      <c r="D13" s="132" t="s">
        <v>629</v>
      </c>
      <c r="E13" s="120" t="s">
        <v>617</v>
      </c>
      <c r="F13" s="139">
        <v>22.58</v>
      </c>
      <c r="G13" s="134">
        <v>80</v>
      </c>
      <c r="H13" s="134">
        <v>26</v>
      </c>
      <c r="I13" s="174">
        <f>+G13*H13*F13</f>
        <v>46966.399999999994</v>
      </c>
      <c r="J13" s="135">
        <f>+I13*1.45%</f>
        <v>681.01279999999986</v>
      </c>
      <c r="K13" s="121">
        <f>+I13*0.35%</f>
        <v>164.38239999999996</v>
      </c>
      <c r="L13" s="478">
        <f>+I13*L$2</f>
        <v>3827.7615999999998</v>
      </c>
      <c r="M13" s="478"/>
      <c r="N13" s="135">
        <f>2.3*4</f>
        <v>9.1999999999999993</v>
      </c>
      <c r="O13" s="135">
        <v>0</v>
      </c>
      <c r="P13" s="135">
        <v>0</v>
      </c>
      <c r="Q13" s="135">
        <v>0</v>
      </c>
      <c r="R13" s="135">
        <f>3.65*26</f>
        <v>94.899999999999991</v>
      </c>
      <c r="S13" s="121">
        <f>SUM(I13:R13)</f>
        <v>51743.65679999999</v>
      </c>
    </row>
    <row r="14" spans="1:19" x14ac:dyDescent="0.25">
      <c r="A14" s="130">
        <v>7</v>
      </c>
      <c r="B14" s="120" t="s">
        <v>630</v>
      </c>
      <c r="C14" s="120" t="s">
        <v>612</v>
      </c>
      <c r="D14" s="132" t="s">
        <v>631</v>
      </c>
      <c r="E14" s="120" t="s">
        <v>617</v>
      </c>
      <c r="F14" s="139">
        <v>19.170000000000002</v>
      </c>
      <c r="G14" s="134">
        <v>80</v>
      </c>
      <c r="H14" s="134">
        <v>26</v>
      </c>
      <c r="I14" s="174">
        <f>+G14*H14*F14</f>
        <v>39873.600000000006</v>
      </c>
      <c r="J14" s="135">
        <f>+I14*1.45%</f>
        <v>578.16720000000009</v>
      </c>
      <c r="K14" s="135">
        <f>+I14*0.35%</f>
        <v>139.55760000000001</v>
      </c>
      <c r="L14" s="478">
        <f>+I14*L$2</f>
        <v>3249.6984000000007</v>
      </c>
      <c r="M14" s="478"/>
      <c r="N14" s="135">
        <f>2.3*4</f>
        <v>9.1999999999999993</v>
      </c>
      <c r="O14" s="135">
        <v>0</v>
      </c>
      <c r="P14" s="135">
        <f>94.28*12</f>
        <v>1131.3600000000001</v>
      </c>
      <c r="Q14" s="135">
        <f>23.4*0.8*12</f>
        <v>224.64</v>
      </c>
      <c r="R14" s="135">
        <f>3.65*26</f>
        <v>94.899999999999991</v>
      </c>
      <c r="S14" s="135">
        <f>SUM(I14:R14)</f>
        <v>45301.123200000009</v>
      </c>
    </row>
    <row r="15" spans="1:19" x14ac:dyDescent="0.25">
      <c r="A15" s="130">
        <v>8</v>
      </c>
      <c r="B15" s="131" t="s">
        <v>725</v>
      </c>
      <c r="C15" s="120" t="s">
        <v>612</v>
      </c>
      <c r="D15" s="132" t="s">
        <v>633</v>
      </c>
      <c r="E15" s="120" t="s">
        <v>617</v>
      </c>
      <c r="F15" s="139">
        <v>14.5</v>
      </c>
      <c r="G15" s="134">
        <v>80</v>
      </c>
      <c r="H15" s="134">
        <v>26</v>
      </c>
      <c r="I15" s="174">
        <f>+G15*H15*F15</f>
        <v>30160</v>
      </c>
      <c r="J15" s="135">
        <f>+I15*1.45%</f>
        <v>437.32</v>
      </c>
      <c r="K15" s="121">
        <f>+I15*0.35%</f>
        <v>105.55999999999999</v>
      </c>
      <c r="L15" s="478">
        <f>+I15*L$2</f>
        <v>2458.04</v>
      </c>
      <c r="M15" s="478"/>
      <c r="N15" s="135">
        <f>2.3*4</f>
        <v>9.1999999999999993</v>
      </c>
      <c r="O15" s="181">
        <v>8289.43</v>
      </c>
      <c r="P15" s="181">
        <v>577.94000000000005</v>
      </c>
      <c r="Q15" s="181">
        <v>121.89</v>
      </c>
      <c r="R15" s="135">
        <f>3.65*26</f>
        <v>94.899999999999991</v>
      </c>
      <c r="S15" s="121">
        <f>SUM(I15:R15)</f>
        <v>42254.28</v>
      </c>
    </row>
    <row r="16" spans="1:19" x14ac:dyDescent="0.25">
      <c r="A16" s="143"/>
      <c r="B16" s="144"/>
      <c r="C16" s="144"/>
      <c r="D16" s="144"/>
      <c r="E16" s="144"/>
      <c r="F16" s="146"/>
      <c r="G16" s="147"/>
      <c r="H16" s="147"/>
      <c r="I16" s="186">
        <f>+SUM(I12:I15)</f>
        <v>174720</v>
      </c>
      <c r="J16" s="186">
        <f>+SUM(J12:J15)</f>
        <v>2533.44</v>
      </c>
      <c r="K16" s="186">
        <f>+SUM(K12:K15)</f>
        <v>611.51999999999987</v>
      </c>
      <c r="L16" s="186"/>
      <c r="M16" s="186">
        <f>(SUM(L12:M15))</f>
        <v>14239.68</v>
      </c>
      <c r="N16" s="186">
        <f t="shared" ref="N16:S16" si="1">+SUM(N12:N15)</f>
        <v>36.799999999999997</v>
      </c>
      <c r="O16" s="186">
        <f t="shared" si="1"/>
        <v>8289.43</v>
      </c>
      <c r="P16" s="186">
        <f t="shared" si="1"/>
        <v>2471.6600000000003</v>
      </c>
      <c r="Q16" s="186">
        <f t="shared" si="1"/>
        <v>346.53</v>
      </c>
      <c r="R16" s="186">
        <f t="shared" si="1"/>
        <v>379.59999999999997</v>
      </c>
      <c r="S16" s="186">
        <f t="shared" si="1"/>
        <v>203628.66</v>
      </c>
    </row>
    <row r="17" spans="1:19" x14ac:dyDescent="0.25">
      <c r="A17" s="122"/>
      <c r="B17" s="123" t="s">
        <v>634</v>
      </c>
      <c r="C17" s="124"/>
      <c r="D17" s="187"/>
      <c r="E17" s="124"/>
      <c r="F17" s="125"/>
      <c r="G17" s="126"/>
      <c r="H17" s="126"/>
      <c r="I17" s="129"/>
      <c r="J17" s="127"/>
      <c r="K17" s="127"/>
      <c r="L17" s="190"/>
      <c r="M17" s="190"/>
      <c r="N17" s="127"/>
      <c r="O17" s="127"/>
      <c r="P17" s="127"/>
      <c r="Q17" s="127"/>
      <c r="R17" s="127"/>
      <c r="S17" s="127"/>
    </row>
    <row r="18" spans="1:19" x14ac:dyDescent="0.25">
      <c r="A18" s="130">
        <v>9</v>
      </c>
      <c r="B18" s="131" t="s">
        <v>635</v>
      </c>
      <c r="C18" s="120" t="s">
        <v>612</v>
      </c>
      <c r="D18" s="132" t="s">
        <v>302</v>
      </c>
      <c r="E18" s="120" t="s">
        <v>614</v>
      </c>
      <c r="F18" s="139">
        <v>52.88</v>
      </c>
      <c r="G18" s="134">
        <v>40</v>
      </c>
      <c r="H18" s="134">
        <v>26</v>
      </c>
      <c r="I18" s="137">
        <f>+G18*H18*F18</f>
        <v>54995.200000000004</v>
      </c>
      <c r="J18" s="135">
        <f>+I18*1.45%</f>
        <v>797.43039999999996</v>
      </c>
      <c r="K18" s="135">
        <f>+I18*0.35%</f>
        <v>192.48319999999998</v>
      </c>
      <c r="L18" s="479">
        <f>+I18*L2</f>
        <v>4482.1088000000009</v>
      </c>
      <c r="M18" s="479"/>
      <c r="N18" s="135">
        <f>2.3*4</f>
        <v>9.1999999999999993</v>
      </c>
      <c r="O18" s="135">
        <v>0</v>
      </c>
      <c r="P18" s="135">
        <v>0</v>
      </c>
      <c r="Q18" s="135">
        <v>0</v>
      </c>
      <c r="R18" s="135">
        <f>3.65*26</f>
        <v>94.899999999999991</v>
      </c>
      <c r="S18" s="135">
        <f>SUM(I18:R18)</f>
        <v>60571.322400000005</v>
      </c>
    </row>
    <row r="19" spans="1:19" x14ac:dyDescent="0.25">
      <c r="A19" s="143"/>
      <c r="B19" s="144"/>
      <c r="C19" s="144"/>
      <c r="D19" s="191"/>
      <c r="E19" s="144"/>
      <c r="F19" s="146"/>
      <c r="G19" s="147"/>
      <c r="H19" s="147"/>
      <c r="I19" s="192">
        <f>+I18</f>
        <v>54995.200000000004</v>
      </c>
      <c r="J19" s="192">
        <f>+J18</f>
        <v>797.43039999999996</v>
      </c>
      <c r="K19" s="192">
        <f>+K18</f>
        <v>192.48319999999998</v>
      </c>
      <c r="L19" s="192"/>
      <c r="M19" s="192">
        <f>L18</f>
        <v>4482.1088000000009</v>
      </c>
      <c r="N19" s="192">
        <f t="shared" ref="N19:S19" si="2">+N18</f>
        <v>9.1999999999999993</v>
      </c>
      <c r="O19" s="192">
        <f t="shared" si="2"/>
        <v>0</v>
      </c>
      <c r="P19" s="192">
        <f t="shared" si="2"/>
        <v>0</v>
      </c>
      <c r="Q19" s="192">
        <f t="shared" si="2"/>
        <v>0</v>
      </c>
      <c r="R19" s="192">
        <f t="shared" si="2"/>
        <v>94.899999999999991</v>
      </c>
      <c r="S19" s="192">
        <f t="shared" si="2"/>
        <v>60571.322400000005</v>
      </c>
    </row>
    <row r="20" spans="1:19" x14ac:dyDescent="0.25">
      <c r="A20" s="193"/>
      <c r="B20" s="194" t="s">
        <v>636</v>
      </c>
      <c r="C20" s="194"/>
      <c r="D20" s="195"/>
      <c r="E20" s="196"/>
      <c r="F20" s="197"/>
      <c r="G20" s="198"/>
      <c r="H20" s="198"/>
      <c r="I20" s="201"/>
      <c r="J20" s="199"/>
      <c r="K20" s="199"/>
      <c r="L20" s="202"/>
      <c r="M20" s="202"/>
      <c r="N20" s="199"/>
      <c r="O20" s="199"/>
      <c r="P20" s="199"/>
      <c r="Q20" s="199"/>
      <c r="R20" s="199"/>
      <c r="S20" s="199"/>
    </row>
    <row r="21" spans="1:19" s="177" customFormat="1" ht="15" customHeight="1" x14ac:dyDescent="0.25">
      <c r="A21" s="175">
        <v>10</v>
      </c>
      <c r="B21" s="176" t="s">
        <v>632</v>
      </c>
      <c r="C21" s="177" t="s">
        <v>612</v>
      </c>
      <c r="D21" s="204" t="s">
        <v>637</v>
      </c>
      <c r="E21" s="177" t="s">
        <v>617</v>
      </c>
      <c r="F21" s="205">
        <v>25</v>
      </c>
      <c r="G21" s="180">
        <v>80</v>
      </c>
      <c r="H21" s="180">
        <v>26</v>
      </c>
      <c r="I21" s="183">
        <f>+G21*H21*F21</f>
        <v>52000</v>
      </c>
      <c r="J21" s="181">
        <f>+I21*1.45%</f>
        <v>754</v>
      </c>
      <c r="K21" s="184">
        <f>+I21*0.35%</f>
        <v>181.99999999999997</v>
      </c>
      <c r="L21" s="474">
        <f>+I21*L$2</f>
        <v>4238</v>
      </c>
      <c r="M21" s="474"/>
      <c r="N21" s="184">
        <v>9.1999999999999993</v>
      </c>
      <c r="O21" s="184">
        <v>8289.43</v>
      </c>
      <c r="P21" s="184">
        <v>577.94000000000005</v>
      </c>
      <c r="Q21" s="184">
        <v>121.89</v>
      </c>
      <c r="R21" s="184">
        <v>94.9</v>
      </c>
      <c r="S21" s="184">
        <f>SUM(I21:R21)</f>
        <v>66267.359999999986</v>
      </c>
    </row>
    <row r="22" spans="1:19" x14ac:dyDescent="0.25">
      <c r="A22" s="143"/>
      <c r="B22" s="144"/>
      <c r="C22" s="144"/>
      <c r="D22" s="144"/>
      <c r="E22" s="144"/>
      <c r="F22" s="146"/>
      <c r="G22" s="147"/>
      <c r="H22" s="147"/>
      <c r="I22" s="207">
        <f>I21</f>
        <v>52000</v>
      </c>
      <c r="J22" s="207">
        <f>J21</f>
        <v>754</v>
      </c>
      <c r="K22" s="207">
        <f>K21</f>
        <v>181.99999999999997</v>
      </c>
      <c r="L22" s="207"/>
      <c r="M22" s="207">
        <f>+L21</f>
        <v>4238</v>
      </c>
      <c r="N22" s="207">
        <f t="shared" ref="N22:S22" si="3">N21</f>
        <v>9.1999999999999993</v>
      </c>
      <c r="O22" s="207">
        <f t="shared" si="3"/>
        <v>8289.43</v>
      </c>
      <c r="P22" s="207">
        <f t="shared" si="3"/>
        <v>577.94000000000005</v>
      </c>
      <c r="Q22" s="207">
        <f t="shared" si="3"/>
        <v>121.89</v>
      </c>
      <c r="R22" s="207">
        <f t="shared" si="3"/>
        <v>94.9</v>
      </c>
      <c r="S22" s="207">
        <f t="shared" si="3"/>
        <v>66267.359999999986</v>
      </c>
    </row>
    <row r="23" spans="1:19" x14ac:dyDescent="0.25">
      <c r="A23" s="208"/>
      <c r="B23" s="209" t="s">
        <v>638</v>
      </c>
      <c r="C23" s="209"/>
      <c r="D23" s="210"/>
      <c r="E23" s="209"/>
      <c r="F23" s="211"/>
      <c r="G23" s="212"/>
      <c r="H23" s="212"/>
      <c r="I23" s="215"/>
      <c r="J23" s="213"/>
      <c r="K23" s="213"/>
      <c r="L23" s="216"/>
      <c r="M23" s="216"/>
      <c r="N23" s="213"/>
      <c r="O23" s="213"/>
      <c r="P23" s="213"/>
      <c r="Q23" s="213"/>
      <c r="R23" s="213"/>
      <c r="S23" s="213"/>
    </row>
    <row r="24" spans="1:19" x14ac:dyDescent="0.25">
      <c r="A24" s="130">
        <v>11</v>
      </c>
      <c r="B24" s="120" t="s">
        <v>639</v>
      </c>
      <c r="C24" s="120" t="s">
        <v>622</v>
      </c>
      <c r="D24" s="132" t="s">
        <v>640</v>
      </c>
      <c r="E24" s="120" t="s">
        <v>624</v>
      </c>
      <c r="F24" s="139">
        <v>287.5</v>
      </c>
      <c r="G24" s="134">
        <v>1</v>
      </c>
      <c r="H24" s="134">
        <v>12</v>
      </c>
      <c r="I24" s="137">
        <f t="shared" ref="I24:I36" si="4">+G24*H24*F24</f>
        <v>3450</v>
      </c>
      <c r="J24" s="135">
        <f t="shared" ref="J24:J36" si="5">+I24*7.652%</f>
        <v>263.99400000000003</v>
      </c>
      <c r="K24" s="121">
        <v>0</v>
      </c>
      <c r="L24" s="480">
        <v>0</v>
      </c>
      <c r="M24" s="480"/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f t="shared" ref="S24:S36" si="6">SUM(I24:R24)</f>
        <v>3713.9940000000001</v>
      </c>
    </row>
    <row r="25" spans="1:19" x14ac:dyDescent="0.25">
      <c r="A25" s="130">
        <v>12</v>
      </c>
      <c r="B25" s="120" t="s">
        <v>641</v>
      </c>
      <c r="C25" s="120" t="s">
        <v>622</v>
      </c>
      <c r="D25" s="132" t="s">
        <v>642</v>
      </c>
      <c r="E25" s="120" t="s">
        <v>624</v>
      </c>
      <c r="F25" s="139">
        <v>287.5</v>
      </c>
      <c r="G25" s="134">
        <v>1</v>
      </c>
      <c r="H25" s="134">
        <v>12</v>
      </c>
      <c r="I25" s="137">
        <f t="shared" si="4"/>
        <v>3450</v>
      </c>
      <c r="J25" s="135">
        <f t="shared" si="5"/>
        <v>263.99400000000003</v>
      </c>
      <c r="K25" s="121">
        <v>0</v>
      </c>
      <c r="L25" s="480">
        <v>0</v>
      </c>
      <c r="M25" s="480"/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f t="shared" si="6"/>
        <v>3713.9940000000001</v>
      </c>
    </row>
    <row r="26" spans="1:19" x14ac:dyDescent="0.25">
      <c r="A26" s="130">
        <v>13</v>
      </c>
      <c r="B26" s="120" t="s">
        <v>643</v>
      </c>
      <c r="C26" s="120" t="s">
        <v>622</v>
      </c>
      <c r="D26" s="132" t="s">
        <v>642</v>
      </c>
      <c r="E26" s="120" t="s">
        <v>624</v>
      </c>
      <c r="F26" s="139">
        <v>287.5</v>
      </c>
      <c r="G26" s="134">
        <v>1</v>
      </c>
      <c r="H26" s="134">
        <v>12</v>
      </c>
      <c r="I26" s="137">
        <f t="shared" si="4"/>
        <v>3450</v>
      </c>
      <c r="J26" s="135">
        <f t="shared" si="5"/>
        <v>263.99400000000003</v>
      </c>
      <c r="K26" s="121">
        <v>0</v>
      </c>
      <c r="L26" s="480">
        <v>0</v>
      </c>
      <c r="M26" s="480"/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f t="shared" si="6"/>
        <v>3713.9940000000001</v>
      </c>
    </row>
    <row r="27" spans="1:19" x14ac:dyDescent="0.25">
      <c r="A27" s="130">
        <v>14</v>
      </c>
      <c r="B27" s="120" t="s">
        <v>644</v>
      </c>
      <c r="C27" s="120" t="s">
        <v>622</v>
      </c>
      <c r="D27" s="132" t="s">
        <v>642</v>
      </c>
      <c r="E27" s="120" t="s">
        <v>624</v>
      </c>
      <c r="F27" s="139">
        <v>287.5</v>
      </c>
      <c r="G27" s="134">
        <v>1</v>
      </c>
      <c r="H27" s="134">
        <v>12</v>
      </c>
      <c r="I27" s="137">
        <f t="shared" si="4"/>
        <v>3450</v>
      </c>
      <c r="J27" s="135">
        <f t="shared" si="5"/>
        <v>263.99400000000003</v>
      </c>
      <c r="K27" s="121">
        <v>0</v>
      </c>
      <c r="L27" s="480">
        <v>0</v>
      </c>
      <c r="M27" s="480"/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f t="shared" si="6"/>
        <v>3713.9940000000001</v>
      </c>
    </row>
    <row r="28" spans="1:19" x14ac:dyDescent="0.25">
      <c r="A28" s="130">
        <v>15</v>
      </c>
      <c r="B28" s="120" t="s">
        <v>645</v>
      </c>
      <c r="C28" s="120" t="s">
        <v>646</v>
      </c>
      <c r="D28" s="132" t="s">
        <v>647</v>
      </c>
      <c r="E28" s="120" t="s">
        <v>648</v>
      </c>
      <c r="F28" s="139">
        <v>50</v>
      </c>
      <c r="G28" s="134">
        <v>1</v>
      </c>
      <c r="H28" s="134">
        <v>4</v>
      </c>
      <c r="I28" s="137">
        <f t="shared" si="4"/>
        <v>200</v>
      </c>
      <c r="J28" s="135">
        <f t="shared" si="5"/>
        <v>15.304</v>
      </c>
      <c r="K28" s="121">
        <v>0</v>
      </c>
      <c r="L28" s="480">
        <v>0</v>
      </c>
      <c r="M28" s="480"/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f t="shared" si="6"/>
        <v>215.304</v>
      </c>
    </row>
    <row r="29" spans="1:19" x14ac:dyDescent="0.25">
      <c r="A29" s="130">
        <v>16</v>
      </c>
      <c r="B29" s="120" t="s">
        <v>649</v>
      </c>
      <c r="C29" s="120" t="s">
        <v>646</v>
      </c>
      <c r="D29" s="132" t="s">
        <v>647</v>
      </c>
      <c r="E29" s="120" t="s">
        <v>648</v>
      </c>
      <c r="F29" s="139">
        <v>50</v>
      </c>
      <c r="G29" s="134">
        <v>1</v>
      </c>
      <c r="H29" s="134">
        <v>4</v>
      </c>
      <c r="I29" s="137">
        <f t="shared" si="4"/>
        <v>200</v>
      </c>
      <c r="J29" s="135">
        <f t="shared" si="5"/>
        <v>15.304</v>
      </c>
      <c r="K29" s="121">
        <v>0</v>
      </c>
      <c r="L29" s="480">
        <v>0</v>
      </c>
      <c r="M29" s="480"/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f t="shared" si="6"/>
        <v>215.304</v>
      </c>
    </row>
    <row r="30" spans="1:19" x14ac:dyDescent="0.25">
      <c r="A30" s="130">
        <v>17</v>
      </c>
      <c r="B30" s="120" t="s">
        <v>650</v>
      </c>
      <c r="C30" s="120" t="s">
        <v>646</v>
      </c>
      <c r="D30" s="132" t="s">
        <v>647</v>
      </c>
      <c r="E30" s="120" t="s">
        <v>648</v>
      </c>
      <c r="F30" s="139">
        <v>50</v>
      </c>
      <c r="G30" s="134">
        <v>1</v>
      </c>
      <c r="H30" s="134">
        <v>4</v>
      </c>
      <c r="I30" s="137">
        <f t="shared" si="4"/>
        <v>200</v>
      </c>
      <c r="J30" s="135">
        <f t="shared" si="5"/>
        <v>15.304</v>
      </c>
      <c r="K30" s="121">
        <v>0</v>
      </c>
      <c r="L30" s="480">
        <v>0</v>
      </c>
      <c r="M30" s="480"/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f t="shared" si="6"/>
        <v>215.304</v>
      </c>
    </row>
    <row r="31" spans="1:19" x14ac:dyDescent="0.25">
      <c r="A31" s="130">
        <v>18</v>
      </c>
      <c r="B31" s="120" t="s">
        <v>651</v>
      </c>
      <c r="C31" s="120" t="s">
        <v>646</v>
      </c>
      <c r="D31" s="132" t="s">
        <v>647</v>
      </c>
      <c r="E31" s="120" t="s">
        <v>648</v>
      </c>
      <c r="F31" s="139">
        <v>50</v>
      </c>
      <c r="G31" s="134">
        <v>1</v>
      </c>
      <c r="H31" s="134">
        <v>4</v>
      </c>
      <c r="I31" s="137">
        <f t="shared" si="4"/>
        <v>200</v>
      </c>
      <c r="J31" s="135">
        <f t="shared" si="5"/>
        <v>15.304</v>
      </c>
      <c r="K31" s="121">
        <v>0</v>
      </c>
      <c r="L31" s="480">
        <v>0</v>
      </c>
      <c r="M31" s="480"/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f t="shared" si="6"/>
        <v>215.304</v>
      </c>
    </row>
    <row r="32" spans="1:19" x14ac:dyDescent="0.25">
      <c r="A32" s="130">
        <v>19</v>
      </c>
      <c r="B32" s="120" t="s">
        <v>652</v>
      </c>
      <c r="C32" s="120" t="s">
        <v>622</v>
      </c>
      <c r="D32" s="132" t="s">
        <v>647</v>
      </c>
      <c r="E32" s="120" t="s">
        <v>624</v>
      </c>
      <c r="F32" s="139">
        <v>115</v>
      </c>
      <c r="G32" s="134">
        <v>1</v>
      </c>
      <c r="H32" s="134">
        <v>12</v>
      </c>
      <c r="I32" s="137">
        <f t="shared" si="4"/>
        <v>1380</v>
      </c>
      <c r="J32" s="135">
        <f t="shared" si="5"/>
        <v>105.5976</v>
      </c>
      <c r="K32" s="121">
        <v>0</v>
      </c>
      <c r="L32" s="480">
        <v>0</v>
      </c>
      <c r="M32" s="480"/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f t="shared" si="6"/>
        <v>1485.5976000000001</v>
      </c>
    </row>
    <row r="33" spans="1:19" x14ac:dyDescent="0.25">
      <c r="A33" s="130">
        <v>20</v>
      </c>
      <c r="B33" s="120" t="s">
        <v>653</v>
      </c>
      <c r="C33" s="120" t="s">
        <v>622</v>
      </c>
      <c r="D33" s="132" t="s">
        <v>647</v>
      </c>
      <c r="E33" s="120" t="s">
        <v>624</v>
      </c>
      <c r="F33" s="139">
        <v>115</v>
      </c>
      <c r="G33" s="134">
        <v>1</v>
      </c>
      <c r="H33" s="134">
        <v>12</v>
      </c>
      <c r="I33" s="137">
        <f t="shared" si="4"/>
        <v>1380</v>
      </c>
      <c r="J33" s="135">
        <f t="shared" si="5"/>
        <v>105.5976</v>
      </c>
      <c r="K33" s="121">
        <v>0</v>
      </c>
      <c r="L33" s="480">
        <v>0</v>
      </c>
      <c r="M33" s="480"/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f t="shared" si="6"/>
        <v>1485.5976000000001</v>
      </c>
    </row>
    <row r="34" spans="1:19" x14ac:dyDescent="0.25">
      <c r="A34" s="130">
        <v>21</v>
      </c>
      <c r="B34" s="120" t="s">
        <v>654</v>
      </c>
      <c r="C34" s="120" t="s">
        <v>622</v>
      </c>
      <c r="D34" s="132" t="s">
        <v>647</v>
      </c>
      <c r="E34" s="120" t="s">
        <v>624</v>
      </c>
      <c r="F34" s="139">
        <v>115</v>
      </c>
      <c r="G34" s="134">
        <v>1</v>
      </c>
      <c r="H34" s="134">
        <v>12</v>
      </c>
      <c r="I34" s="137">
        <f t="shared" si="4"/>
        <v>1380</v>
      </c>
      <c r="J34" s="135">
        <f t="shared" si="5"/>
        <v>105.5976</v>
      </c>
      <c r="K34" s="121">
        <v>0</v>
      </c>
      <c r="L34" s="480">
        <v>0</v>
      </c>
      <c r="M34" s="480"/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f t="shared" si="6"/>
        <v>1485.5976000000001</v>
      </c>
    </row>
    <row r="35" spans="1:19" x14ac:dyDescent="0.25">
      <c r="A35" s="130">
        <v>22</v>
      </c>
      <c r="B35" s="120" t="s">
        <v>655</v>
      </c>
      <c r="C35" s="120" t="s">
        <v>622</v>
      </c>
      <c r="D35" s="132" t="s">
        <v>647</v>
      </c>
      <c r="E35" s="120" t="s">
        <v>624</v>
      </c>
      <c r="F35" s="139">
        <v>115</v>
      </c>
      <c r="G35" s="134">
        <v>1</v>
      </c>
      <c r="H35" s="134">
        <v>12</v>
      </c>
      <c r="I35" s="137">
        <f t="shared" si="4"/>
        <v>1380</v>
      </c>
      <c r="J35" s="135">
        <f t="shared" si="5"/>
        <v>105.5976</v>
      </c>
      <c r="K35" s="121">
        <v>0</v>
      </c>
      <c r="L35" s="480">
        <v>0</v>
      </c>
      <c r="M35" s="480"/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f t="shared" si="6"/>
        <v>1485.5976000000001</v>
      </c>
    </row>
    <row r="36" spans="1:19" x14ac:dyDescent="0.25">
      <c r="A36" s="130">
        <v>23</v>
      </c>
      <c r="B36" s="120" t="s">
        <v>656</v>
      </c>
      <c r="C36" s="120" t="s">
        <v>622</v>
      </c>
      <c r="D36" s="132" t="s">
        <v>647</v>
      </c>
      <c r="E36" s="120" t="s">
        <v>624</v>
      </c>
      <c r="F36" s="139">
        <v>115</v>
      </c>
      <c r="G36" s="134">
        <v>1</v>
      </c>
      <c r="H36" s="134">
        <v>12</v>
      </c>
      <c r="I36" s="137">
        <f t="shared" si="4"/>
        <v>1380</v>
      </c>
      <c r="J36" s="135">
        <f t="shared" si="5"/>
        <v>105.5976</v>
      </c>
      <c r="K36" s="121">
        <v>0</v>
      </c>
      <c r="L36" s="480">
        <v>0</v>
      </c>
      <c r="M36" s="480"/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f t="shared" si="6"/>
        <v>1485.5976000000001</v>
      </c>
    </row>
    <row r="37" spans="1:19" x14ac:dyDescent="0.25">
      <c r="A37" s="143"/>
      <c r="B37" s="144"/>
      <c r="C37" s="144"/>
      <c r="D37" s="144"/>
      <c r="E37" s="144"/>
      <c r="F37" s="146"/>
      <c r="G37" s="147"/>
      <c r="H37" s="147"/>
      <c r="I37" s="217">
        <f>+SUM(I24:I36)</f>
        <v>21500</v>
      </c>
      <c r="J37" s="218">
        <f>+SUM(J24:J36)</f>
        <v>1645.1800000000007</v>
      </c>
      <c r="K37" s="218">
        <f>+SUM(K24:K36)</f>
        <v>0</v>
      </c>
      <c r="L37" s="481">
        <f>+SUM(L24:M36)</f>
        <v>0</v>
      </c>
      <c r="M37" s="481"/>
      <c r="N37" s="218">
        <f t="shared" ref="N37:S37" si="7">+SUM(N24:N36)</f>
        <v>0</v>
      </c>
      <c r="O37" s="218">
        <f t="shared" si="7"/>
        <v>0</v>
      </c>
      <c r="P37" s="218">
        <f t="shared" si="7"/>
        <v>0</v>
      </c>
      <c r="Q37" s="218">
        <f t="shared" si="7"/>
        <v>0</v>
      </c>
      <c r="R37" s="218">
        <f t="shared" si="7"/>
        <v>0</v>
      </c>
      <c r="S37" s="218">
        <f t="shared" si="7"/>
        <v>23145.180000000004</v>
      </c>
    </row>
    <row r="38" spans="1:19" x14ac:dyDescent="0.25">
      <c r="A38" s="219"/>
      <c r="B38" s="220" t="s">
        <v>657</v>
      </c>
      <c r="C38" s="221"/>
      <c r="D38" s="222"/>
      <c r="E38" s="221"/>
      <c r="F38" s="223"/>
      <c r="G38" s="224"/>
      <c r="H38" s="224"/>
      <c r="I38" s="227"/>
      <c r="J38" s="225"/>
      <c r="K38" s="225"/>
      <c r="L38" s="228"/>
      <c r="M38" s="228"/>
      <c r="N38" s="225"/>
      <c r="O38" s="225"/>
      <c r="P38" s="225"/>
      <c r="Q38" s="225"/>
      <c r="R38" s="225"/>
      <c r="S38" s="225"/>
    </row>
    <row r="39" spans="1:19" x14ac:dyDescent="0.25">
      <c r="A39" s="130">
        <v>24</v>
      </c>
      <c r="B39" s="120" t="s">
        <v>658</v>
      </c>
      <c r="C39" s="120" t="s">
        <v>612</v>
      </c>
      <c r="D39" s="132" t="s">
        <v>659</v>
      </c>
      <c r="E39" s="120" t="s">
        <v>617</v>
      </c>
      <c r="F39" s="139">
        <v>18.27</v>
      </c>
      <c r="G39" s="134">
        <v>80</v>
      </c>
      <c r="H39" s="134">
        <v>26</v>
      </c>
      <c r="I39" s="174">
        <f>+G39*H39*F39</f>
        <v>38001.599999999999</v>
      </c>
      <c r="J39" s="135">
        <f>+I39*1.45%</f>
        <v>551.02319999999997</v>
      </c>
      <c r="K39" s="121">
        <f>+I39*0.35%</f>
        <v>133.00559999999999</v>
      </c>
      <c r="L39" s="478">
        <f>+I39*L$2</f>
        <v>3097.1304</v>
      </c>
      <c r="M39" s="478"/>
      <c r="N39" s="121">
        <f>2.3*4</f>
        <v>9.1999999999999993</v>
      </c>
      <c r="O39" s="121">
        <f>209.8*24</f>
        <v>5035.2000000000007</v>
      </c>
      <c r="P39" s="121">
        <f>29.96*12</f>
        <v>359.52</v>
      </c>
      <c r="Q39" s="121">
        <f>6.464*12</f>
        <v>77.568000000000012</v>
      </c>
      <c r="R39" s="121">
        <f>3.65*26</f>
        <v>94.899999999999991</v>
      </c>
      <c r="S39" s="121">
        <f>SUM(I39:R39)</f>
        <v>47359.147199999992</v>
      </c>
    </row>
    <row r="40" spans="1:19" x14ac:dyDescent="0.25">
      <c r="A40" s="130">
        <v>25</v>
      </c>
      <c r="B40" s="120" t="s">
        <v>660</v>
      </c>
      <c r="C40" s="120" t="s">
        <v>612</v>
      </c>
      <c r="D40" s="132" t="s">
        <v>661</v>
      </c>
      <c r="E40" s="120" t="s">
        <v>617</v>
      </c>
      <c r="F40" s="139">
        <v>15.05</v>
      </c>
      <c r="G40" s="134">
        <v>80</v>
      </c>
      <c r="H40" s="134">
        <v>26</v>
      </c>
      <c r="I40" s="174">
        <f>+G40*H40*F40</f>
        <v>31304</v>
      </c>
      <c r="J40" s="135">
        <f>+I40*1.45%</f>
        <v>453.90799999999996</v>
      </c>
      <c r="K40" s="121">
        <f>+I40*0.35%</f>
        <v>109.56399999999999</v>
      </c>
      <c r="L40" s="478">
        <f>+I40*L$2</f>
        <v>2551.2760000000003</v>
      </c>
      <c r="M40" s="478"/>
      <c r="N40" s="135">
        <f>2.3*4</f>
        <v>9.1999999999999993</v>
      </c>
      <c r="O40" s="135">
        <v>0</v>
      </c>
      <c r="P40" s="135">
        <v>0</v>
      </c>
      <c r="Q40" s="135">
        <v>0</v>
      </c>
      <c r="R40" s="135">
        <f>3.65*26</f>
        <v>94.899999999999991</v>
      </c>
      <c r="S40" s="121">
        <f>SUM(I40:R40)</f>
        <v>34522.847999999998</v>
      </c>
    </row>
    <row r="41" spans="1:19" x14ac:dyDescent="0.25">
      <c r="A41" s="130">
        <v>26</v>
      </c>
      <c r="B41" s="131" t="s">
        <v>747</v>
      </c>
      <c r="C41" s="120" t="s">
        <v>612</v>
      </c>
      <c r="D41" s="132" t="s">
        <v>662</v>
      </c>
      <c r="E41" s="120" t="s">
        <v>617</v>
      </c>
      <c r="F41" s="139">
        <v>14.5</v>
      </c>
      <c r="G41" s="134">
        <v>58</v>
      </c>
      <c r="H41" s="134">
        <v>26</v>
      </c>
      <c r="I41" s="174">
        <f>+G41*H41*F41</f>
        <v>21866</v>
      </c>
      <c r="J41" s="135">
        <f>+I41*1.45%</f>
        <v>317.05699999999996</v>
      </c>
      <c r="K41" s="121">
        <f>+I41*0.35%</f>
        <v>76.530999999999992</v>
      </c>
      <c r="L41" s="478">
        <f>+I41*L$2</f>
        <v>1782.0790000000002</v>
      </c>
      <c r="M41" s="478"/>
      <c r="N41" s="121">
        <v>9.1999999999999993</v>
      </c>
      <c r="O41" s="121">
        <v>0</v>
      </c>
      <c r="P41" s="135">
        <v>0</v>
      </c>
      <c r="Q41" s="135">
        <v>0</v>
      </c>
      <c r="R41" s="121">
        <v>0</v>
      </c>
      <c r="S41" s="121">
        <f>SUM(I41:R41)</f>
        <v>24050.867000000002</v>
      </c>
    </row>
    <row r="42" spans="1:19" x14ac:dyDescent="0.25">
      <c r="A42" s="143"/>
      <c r="B42" s="144"/>
      <c r="C42" s="144"/>
      <c r="D42" s="145"/>
      <c r="E42" s="144"/>
      <c r="F42" s="146"/>
      <c r="G42" s="147"/>
      <c r="H42" s="147"/>
      <c r="I42" s="229">
        <f>+SUM(I39:I41)</f>
        <v>91171.6</v>
      </c>
      <c r="J42" s="230">
        <f>+SUM(J39:J41)</f>
        <v>1321.9882</v>
      </c>
      <c r="K42" s="230">
        <f>+SUM(K39:K41)</f>
        <v>319.10059999999999</v>
      </c>
      <c r="L42" s="230"/>
      <c r="M42" s="230">
        <f>+SUM(L39:M41)</f>
        <v>7430.4853999999996</v>
      </c>
      <c r="N42" s="230">
        <f t="shared" ref="N42:S42" si="8">+SUM(N39:N41)</f>
        <v>27.599999999999998</v>
      </c>
      <c r="O42" s="230">
        <f t="shared" si="8"/>
        <v>5035.2000000000007</v>
      </c>
      <c r="P42" s="230">
        <f t="shared" si="8"/>
        <v>359.52</v>
      </c>
      <c r="Q42" s="230">
        <f t="shared" si="8"/>
        <v>77.568000000000012</v>
      </c>
      <c r="R42" s="230">
        <f t="shared" si="8"/>
        <v>189.79999999999998</v>
      </c>
      <c r="S42" s="230">
        <f t="shared" si="8"/>
        <v>105932.86219999999</v>
      </c>
    </row>
    <row r="43" spans="1:19" x14ac:dyDescent="0.25">
      <c r="A43" s="208"/>
      <c r="B43" s="209" t="s">
        <v>663</v>
      </c>
      <c r="C43" s="209"/>
      <c r="D43" s="210"/>
      <c r="E43" s="231"/>
      <c r="F43" s="232"/>
      <c r="G43" s="233"/>
      <c r="H43" s="233"/>
      <c r="I43" s="215"/>
      <c r="J43" s="213"/>
      <c r="K43" s="213"/>
      <c r="L43" s="216"/>
      <c r="M43" s="216"/>
      <c r="N43" s="213"/>
      <c r="O43" s="213"/>
      <c r="P43" s="213"/>
      <c r="Q43" s="213"/>
      <c r="R43" s="213"/>
      <c r="S43" s="213"/>
    </row>
    <row r="44" spans="1:19" x14ac:dyDescent="0.25">
      <c r="A44" s="130">
        <v>27</v>
      </c>
      <c r="B44" s="120" t="s">
        <v>664</v>
      </c>
      <c r="C44" s="120" t="s">
        <v>622</v>
      </c>
      <c r="D44" s="234" t="s">
        <v>665</v>
      </c>
      <c r="E44" s="120" t="s">
        <v>624</v>
      </c>
      <c r="F44" s="133">
        <v>800</v>
      </c>
      <c r="G44" s="134">
        <v>1</v>
      </c>
      <c r="H44" s="134">
        <v>12</v>
      </c>
      <c r="I44" s="174">
        <f>+G44*H44*F44</f>
        <v>9600</v>
      </c>
      <c r="J44" s="135">
        <f>+I44*7.65%</f>
        <v>734.4</v>
      </c>
      <c r="K44" s="121">
        <v>0</v>
      </c>
      <c r="L44" s="480">
        <v>0</v>
      </c>
      <c r="M44" s="480"/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f>SUM(I44:R44)</f>
        <v>10334.4</v>
      </c>
    </row>
    <row r="45" spans="1:19" x14ac:dyDescent="0.25">
      <c r="A45" s="130">
        <v>28</v>
      </c>
      <c r="B45" s="166" t="s">
        <v>632</v>
      </c>
      <c r="C45" s="120" t="s">
        <v>622</v>
      </c>
      <c r="D45" s="234" t="s">
        <v>666</v>
      </c>
      <c r="E45" s="120" t="s">
        <v>667</v>
      </c>
      <c r="F45" s="133">
        <v>800</v>
      </c>
      <c r="G45" s="134">
        <v>1</v>
      </c>
      <c r="H45" s="134">
        <v>2</v>
      </c>
      <c r="I45" s="174">
        <f>+G45*H45*F45</f>
        <v>1600</v>
      </c>
      <c r="J45" s="135">
        <f>+I45*7.65%</f>
        <v>122.39999999999999</v>
      </c>
      <c r="K45" s="121">
        <v>0</v>
      </c>
      <c r="L45" s="480">
        <v>0</v>
      </c>
      <c r="M45" s="480"/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f>SUM(I45:R45)</f>
        <v>1722.4</v>
      </c>
    </row>
    <row r="46" spans="1:19" x14ac:dyDescent="0.25">
      <c r="A46" s="130">
        <v>29</v>
      </c>
      <c r="B46" s="131" t="s">
        <v>668</v>
      </c>
      <c r="C46" s="120" t="s">
        <v>612</v>
      </c>
      <c r="D46" s="132" t="s">
        <v>669</v>
      </c>
      <c r="E46" s="120" t="s">
        <v>617</v>
      </c>
      <c r="F46" s="139">
        <v>16.7</v>
      </c>
      <c r="G46" s="134">
        <v>80</v>
      </c>
      <c r="H46" s="134">
        <v>26</v>
      </c>
      <c r="I46" s="174">
        <f>+G46*H46*F46</f>
        <v>34736</v>
      </c>
      <c r="J46" s="135">
        <f>+I46*1.45%</f>
        <v>503.67199999999997</v>
      </c>
      <c r="K46" s="135">
        <f>+I46*0.35%</f>
        <v>121.57599999999999</v>
      </c>
      <c r="L46" s="479">
        <f>I46*L$2</f>
        <v>2830.9839999999999</v>
      </c>
      <c r="M46" s="479"/>
      <c r="N46" s="135">
        <f>2.3*4</f>
        <v>9.1999999999999993</v>
      </c>
      <c r="O46" s="135">
        <v>0</v>
      </c>
      <c r="P46" s="135">
        <v>0</v>
      </c>
      <c r="Q46" s="135">
        <v>0</v>
      </c>
      <c r="R46" s="135">
        <f>3.75*26</f>
        <v>97.5</v>
      </c>
      <c r="S46" s="121">
        <f>SUM(I46:R46)</f>
        <v>38298.931999999993</v>
      </c>
    </row>
    <row r="47" spans="1:19" x14ac:dyDescent="0.25">
      <c r="A47" s="130">
        <v>30</v>
      </c>
      <c r="B47" s="120" t="s">
        <v>670</v>
      </c>
      <c r="C47" s="120" t="s">
        <v>612</v>
      </c>
      <c r="D47" s="132" t="s">
        <v>671</v>
      </c>
      <c r="E47" s="120" t="s">
        <v>617</v>
      </c>
      <c r="F47" s="139">
        <v>15.06</v>
      </c>
      <c r="G47" s="134">
        <v>50</v>
      </c>
      <c r="H47" s="134">
        <v>26</v>
      </c>
      <c r="I47" s="174">
        <f>+G47*H47*F47</f>
        <v>19578</v>
      </c>
      <c r="J47" s="135">
        <f>+I47*1.45%</f>
        <v>283.88099999999997</v>
      </c>
      <c r="K47" s="135">
        <f>+I47*0.35%</f>
        <v>68.522999999999996</v>
      </c>
      <c r="L47" s="479">
        <f>I47*L$2</f>
        <v>1595.607</v>
      </c>
      <c r="M47" s="479"/>
      <c r="N47" s="135">
        <f>2.3*4</f>
        <v>9.1999999999999993</v>
      </c>
      <c r="O47" s="135">
        <v>0</v>
      </c>
      <c r="P47" s="135">
        <v>0</v>
      </c>
      <c r="Q47" s="135">
        <v>0</v>
      </c>
      <c r="R47" s="135">
        <v>0</v>
      </c>
      <c r="S47" s="121">
        <f>SUM(I47:R47)</f>
        <v>21535.211000000003</v>
      </c>
    </row>
    <row r="48" spans="1:19" x14ac:dyDescent="0.25">
      <c r="A48" s="130">
        <v>31</v>
      </c>
      <c r="B48" s="131" t="s">
        <v>720</v>
      </c>
      <c r="C48" s="120" t="s">
        <v>612</v>
      </c>
      <c r="D48" s="132" t="s">
        <v>671</v>
      </c>
      <c r="E48" s="120" t="s">
        <v>617</v>
      </c>
      <c r="F48" s="139">
        <v>14.5</v>
      </c>
      <c r="G48" s="134">
        <v>40</v>
      </c>
      <c r="H48" s="134">
        <v>26</v>
      </c>
      <c r="I48" s="174">
        <f>+G48*H48*F48</f>
        <v>15080</v>
      </c>
      <c r="J48" s="135">
        <f>+I48*1.45%</f>
        <v>218.66</v>
      </c>
      <c r="K48" s="135">
        <f>+I48*0.35%</f>
        <v>52.779999999999994</v>
      </c>
      <c r="L48" s="479">
        <f>I48*L$2</f>
        <v>1229.02</v>
      </c>
      <c r="M48" s="479"/>
      <c r="N48" s="135">
        <v>0</v>
      </c>
      <c r="O48" s="121">
        <v>0</v>
      </c>
      <c r="P48" s="135">
        <v>0</v>
      </c>
      <c r="Q48" s="135">
        <v>0</v>
      </c>
      <c r="R48" s="135">
        <v>0</v>
      </c>
      <c r="S48" s="121">
        <f>SUM(I48:R48)</f>
        <v>16580.46</v>
      </c>
    </row>
    <row r="49" spans="1:22" x14ac:dyDescent="0.25">
      <c r="A49" s="143"/>
      <c r="B49" s="144"/>
      <c r="C49" s="144"/>
      <c r="D49" s="145"/>
      <c r="E49" s="144"/>
      <c r="F49" s="146"/>
      <c r="G49" s="147"/>
      <c r="H49" s="147"/>
      <c r="I49" s="217">
        <f>+SUM(I44:I48)</f>
        <v>80594</v>
      </c>
      <c r="J49" s="218">
        <f>+SUM(J44:J48)</f>
        <v>1863.0130000000001</v>
      </c>
      <c r="K49" s="218">
        <f>+SUM(K44:K48)</f>
        <v>242.87899999999999</v>
      </c>
      <c r="L49" s="218"/>
      <c r="M49" s="218">
        <f>+SUM(L44:M48)</f>
        <v>5655.6110000000008</v>
      </c>
      <c r="N49" s="218">
        <f t="shared" ref="N49:S49" si="9">+SUM(N44:N48)</f>
        <v>18.399999999999999</v>
      </c>
      <c r="O49" s="218">
        <f t="shared" si="9"/>
        <v>0</v>
      </c>
      <c r="P49" s="218">
        <f t="shared" si="9"/>
        <v>0</v>
      </c>
      <c r="Q49" s="218">
        <f t="shared" si="9"/>
        <v>0</v>
      </c>
      <c r="R49" s="218">
        <f t="shared" si="9"/>
        <v>97.5</v>
      </c>
      <c r="S49" s="218">
        <f t="shared" si="9"/>
        <v>88471.402999999991</v>
      </c>
    </row>
    <row r="50" spans="1:22" x14ac:dyDescent="0.25">
      <c r="A50" s="436"/>
      <c r="B50" s="437" t="s">
        <v>940</v>
      </c>
      <c r="C50" s="437"/>
      <c r="D50" s="438"/>
      <c r="E50" s="439"/>
      <c r="F50" s="440"/>
      <c r="G50" s="441"/>
      <c r="H50" s="441"/>
      <c r="I50" s="442"/>
      <c r="J50" s="443"/>
      <c r="K50" s="443"/>
      <c r="L50" s="444"/>
      <c r="M50" s="444"/>
      <c r="N50" s="443"/>
      <c r="O50" s="443"/>
      <c r="P50" s="443"/>
      <c r="Q50" s="443"/>
      <c r="R50" s="443"/>
      <c r="S50" s="443"/>
    </row>
    <row r="51" spans="1:22" x14ac:dyDescent="0.25">
      <c r="A51" s="130">
        <v>32</v>
      </c>
      <c r="B51" s="120" t="s">
        <v>673</v>
      </c>
      <c r="C51" s="120" t="s">
        <v>612</v>
      </c>
      <c r="D51" s="132" t="s">
        <v>941</v>
      </c>
      <c r="E51" s="120" t="s">
        <v>617</v>
      </c>
      <c r="F51" s="139">
        <v>26.45</v>
      </c>
      <c r="G51" s="134">
        <v>80</v>
      </c>
      <c r="H51" s="134">
        <v>26</v>
      </c>
      <c r="I51" s="174">
        <f>+G51*H51*F51</f>
        <v>55016</v>
      </c>
      <c r="J51" s="135">
        <f>+I51*1.45%</f>
        <v>797.73199999999997</v>
      </c>
      <c r="K51" s="121">
        <f>+I51*0.35%</f>
        <v>192.55599999999998</v>
      </c>
      <c r="L51" s="478">
        <f>+I51*L$2</f>
        <v>4483.8040000000001</v>
      </c>
      <c r="M51" s="478"/>
      <c r="N51" s="121">
        <f>2.3*4</f>
        <v>9.1999999999999993</v>
      </c>
      <c r="O51" s="121">
        <f>479.42*24</f>
        <v>11506.08</v>
      </c>
      <c r="P51" s="121">
        <f>54.09*12</f>
        <v>649.08000000000004</v>
      </c>
      <c r="Q51" s="121">
        <f>17.44*0.8*12</f>
        <v>167.42400000000004</v>
      </c>
      <c r="R51" s="121">
        <f>3.65*26</f>
        <v>94.899999999999991</v>
      </c>
      <c r="S51" s="121">
        <f>SUM(I51:R51)</f>
        <v>72916.775999999998</v>
      </c>
    </row>
    <row r="52" spans="1:22" x14ac:dyDescent="0.25">
      <c r="D52" s="132"/>
      <c r="I52" s="442">
        <f>+I51</f>
        <v>55016</v>
      </c>
      <c r="J52" s="442">
        <f t="shared" ref="J52:S52" si="10">+J51</f>
        <v>797.73199999999997</v>
      </c>
      <c r="K52" s="442">
        <f t="shared" si="10"/>
        <v>192.55599999999998</v>
      </c>
      <c r="L52" s="482">
        <f t="shared" si="10"/>
        <v>4483.8040000000001</v>
      </c>
      <c r="M52" s="482"/>
      <c r="N52" s="442">
        <f t="shared" si="10"/>
        <v>9.1999999999999993</v>
      </c>
      <c r="O52" s="442">
        <f t="shared" si="10"/>
        <v>11506.08</v>
      </c>
      <c r="P52" s="442">
        <f t="shared" si="10"/>
        <v>649.08000000000004</v>
      </c>
      <c r="Q52" s="442">
        <f t="shared" si="10"/>
        <v>167.42400000000004</v>
      </c>
      <c r="R52" s="442">
        <f t="shared" si="10"/>
        <v>94.899999999999991</v>
      </c>
      <c r="S52" s="442">
        <f t="shared" si="10"/>
        <v>72916.775999999998</v>
      </c>
    </row>
    <row r="53" spans="1:22" x14ac:dyDescent="0.25">
      <c r="A53" s="238"/>
      <c r="B53" s="239" t="s">
        <v>672</v>
      </c>
      <c r="C53" s="239"/>
      <c r="D53" s="240"/>
      <c r="E53" s="241"/>
      <c r="F53" s="242"/>
      <c r="G53" s="243"/>
      <c r="H53" s="243"/>
      <c r="I53" s="246"/>
      <c r="J53" s="244"/>
      <c r="K53" s="244"/>
      <c r="L53" s="247"/>
      <c r="M53" s="247"/>
      <c r="N53" s="244"/>
      <c r="O53" s="244"/>
      <c r="P53" s="244"/>
      <c r="Q53" s="244"/>
      <c r="R53" s="244"/>
      <c r="S53" s="244"/>
    </row>
    <row r="54" spans="1:22" x14ac:dyDescent="0.25">
      <c r="A54" s="130">
        <v>33</v>
      </c>
      <c r="B54" s="120" t="s">
        <v>675</v>
      </c>
      <c r="C54" s="120" t="s">
        <v>612</v>
      </c>
      <c r="D54" s="132" t="s">
        <v>674</v>
      </c>
      <c r="E54" s="120" t="s">
        <v>617</v>
      </c>
      <c r="F54" s="139">
        <v>19</v>
      </c>
      <c r="G54" s="134">
        <v>80</v>
      </c>
      <c r="H54" s="134">
        <v>26</v>
      </c>
      <c r="I54" s="174">
        <f>+G54*H54*F54</f>
        <v>39520</v>
      </c>
      <c r="J54" s="135">
        <f>+I54*1.45%</f>
        <v>573.04</v>
      </c>
      <c r="K54" s="121">
        <f>+I54*0.35%</f>
        <v>138.32</v>
      </c>
      <c r="L54" s="478">
        <f>+I54*L$2</f>
        <v>3220.88</v>
      </c>
      <c r="M54" s="478"/>
      <c r="N54" s="121">
        <f>2.3*4</f>
        <v>9.1999999999999993</v>
      </c>
      <c r="O54" s="135">
        <v>0</v>
      </c>
      <c r="P54" s="135">
        <v>0</v>
      </c>
      <c r="Q54" s="135">
        <v>0</v>
      </c>
      <c r="R54" s="121">
        <f>3.65*26</f>
        <v>94.899999999999991</v>
      </c>
      <c r="S54" s="121">
        <f>SUM(I54:R54)</f>
        <v>43556.34</v>
      </c>
    </row>
    <row r="55" spans="1:22" x14ac:dyDescent="0.25">
      <c r="A55" s="130">
        <v>34</v>
      </c>
      <c r="B55" s="131" t="s">
        <v>677</v>
      </c>
      <c r="C55" s="120" t="s">
        <v>612</v>
      </c>
      <c r="D55" s="248" t="s">
        <v>676</v>
      </c>
      <c r="E55" s="120" t="s">
        <v>617</v>
      </c>
      <c r="F55" s="139">
        <v>16</v>
      </c>
      <c r="G55" s="134">
        <v>80</v>
      </c>
      <c r="H55" s="134">
        <v>26</v>
      </c>
      <c r="I55" s="174">
        <f>+G55*H55*F55</f>
        <v>33280</v>
      </c>
      <c r="J55" s="135">
        <f>+I55*1.45%</f>
        <v>482.55999999999995</v>
      </c>
      <c r="K55" s="121">
        <f>+I55*0.35%</f>
        <v>116.47999999999999</v>
      </c>
      <c r="L55" s="478">
        <f>+I55*L$2</f>
        <v>2712.32</v>
      </c>
      <c r="M55" s="478"/>
      <c r="N55" s="121">
        <f>2.3*4</f>
        <v>9.1999999999999993</v>
      </c>
      <c r="O55" s="121">
        <v>0</v>
      </c>
      <c r="P55" s="121">
        <v>0</v>
      </c>
      <c r="Q55" s="121">
        <v>0</v>
      </c>
      <c r="R55" s="121">
        <f>3.65*26</f>
        <v>94.899999999999991</v>
      </c>
      <c r="S55" s="121">
        <f>SUM(I55:R55)</f>
        <v>36695.46</v>
      </c>
    </row>
    <row r="56" spans="1:22" x14ac:dyDescent="0.25">
      <c r="A56" s="130">
        <v>35</v>
      </c>
      <c r="B56" s="131" t="s">
        <v>945</v>
      </c>
      <c r="C56" s="120" t="s">
        <v>612</v>
      </c>
      <c r="D56" s="248" t="s">
        <v>678</v>
      </c>
      <c r="E56" s="120" t="s">
        <v>617</v>
      </c>
      <c r="F56" s="139">
        <v>14.5</v>
      </c>
      <c r="G56" s="134">
        <v>80</v>
      </c>
      <c r="H56" s="134">
        <v>26</v>
      </c>
      <c r="I56" s="174">
        <f>+G56*H56*F56</f>
        <v>30160</v>
      </c>
      <c r="J56" s="135">
        <f>+I56*1.45%</f>
        <v>437.32</v>
      </c>
      <c r="K56" s="121">
        <f>+I56*0.35%</f>
        <v>105.55999999999999</v>
      </c>
      <c r="L56" s="478">
        <f>+I56*L$2</f>
        <v>2458.04</v>
      </c>
      <c r="M56" s="478"/>
      <c r="N56" s="121">
        <f>2.3*4</f>
        <v>9.1999999999999993</v>
      </c>
      <c r="O56" s="135">
        <v>0</v>
      </c>
      <c r="P56" s="135">
        <v>0</v>
      </c>
      <c r="Q56" s="135">
        <v>0</v>
      </c>
      <c r="R56" s="121">
        <f>3.65*26</f>
        <v>94.899999999999991</v>
      </c>
      <c r="S56" s="121">
        <f>SUM(I56:R56)</f>
        <v>33265.019999999997</v>
      </c>
    </row>
    <row r="57" spans="1:22" s="131" customFormat="1" x14ac:dyDescent="0.25">
      <c r="A57" s="141">
        <v>34</v>
      </c>
      <c r="B57" s="131" t="s">
        <v>946</v>
      </c>
      <c r="C57" s="131" t="s">
        <v>612</v>
      </c>
      <c r="D57" s="451" t="s">
        <v>678</v>
      </c>
      <c r="E57" s="131" t="s">
        <v>617</v>
      </c>
      <c r="F57" s="133">
        <v>14.5</v>
      </c>
      <c r="G57" s="328">
        <v>80</v>
      </c>
      <c r="H57" s="328">
        <v>26</v>
      </c>
      <c r="I57" s="137">
        <f>+G57*H57*F57</f>
        <v>30160</v>
      </c>
      <c r="J57" s="135">
        <f>+I57*1.45%</f>
        <v>437.32</v>
      </c>
      <c r="K57" s="135">
        <f>+I57*0.35%</f>
        <v>105.55999999999999</v>
      </c>
      <c r="L57" s="476">
        <f>+I57*L2</f>
        <v>2458.04</v>
      </c>
      <c r="M57" s="476"/>
      <c r="N57" s="135">
        <f>2.3*4</f>
        <v>9.1999999999999993</v>
      </c>
      <c r="O57" s="135">
        <v>8289.43</v>
      </c>
      <c r="P57" s="135">
        <v>577.94000000000005</v>
      </c>
      <c r="Q57" s="135">
        <v>121.89</v>
      </c>
      <c r="R57" s="135">
        <v>94.9</v>
      </c>
      <c r="S57" s="135">
        <f>SUM(I57:R57)</f>
        <v>42254.28</v>
      </c>
    </row>
    <row r="58" spans="1:22" s="177" customFormat="1" x14ac:dyDescent="0.25">
      <c r="A58" s="175">
        <v>37</v>
      </c>
      <c r="B58" s="176" t="s">
        <v>632</v>
      </c>
      <c r="C58" s="177" t="s">
        <v>612</v>
      </c>
      <c r="D58" s="417" t="s">
        <v>678</v>
      </c>
      <c r="E58" s="177" t="s">
        <v>617</v>
      </c>
      <c r="F58" s="179">
        <v>14.5</v>
      </c>
      <c r="G58" s="180">
        <v>80</v>
      </c>
      <c r="H58" s="180">
        <v>26</v>
      </c>
      <c r="I58" s="183">
        <f>+G58*H58*F58</f>
        <v>30160</v>
      </c>
      <c r="J58" s="181">
        <f>+I58*1.45%</f>
        <v>437.32</v>
      </c>
      <c r="K58" s="184">
        <f>+I58*0.35%</f>
        <v>105.55999999999999</v>
      </c>
      <c r="L58" s="474">
        <f>+I58*L$2</f>
        <v>2458.04</v>
      </c>
      <c r="M58" s="474"/>
      <c r="N58" s="184">
        <f>2.3*4</f>
        <v>9.1999999999999993</v>
      </c>
      <c r="O58" s="181">
        <v>8289.43</v>
      </c>
      <c r="P58" s="181">
        <v>577.94000000000005</v>
      </c>
      <c r="Q58" s="181">
        <v>121.89</v>
      </c>
      <c r="R58" s="184">
        <f>3.65*26</f>
        <v>94.899999999999991</v>
      </c>
      <c r="S58" s="184">
        <f>SUM(I58:R58)</f>
        <v>42254.28</v>
      </c>
    </row>
    <row r="59" spans="1:22" x14ac:dyDescent="0.25">
      <c r="A59" s="143"/>
      <c r="B59" s="144"/>
      <c r="C59" s="144"/>
      <c r="D59" s="145"/>
      <c r="E59" s="144"/>
      <c r="F59" s="146"/>
      <c r="G59" s="147"/>
      <c r="H59" s="147"/>
      <c r="I59" s="249">
        <f>+SUM(I54:I58)</f>
        <v>163280</v>
      </c>
      <c r="J59" s="249">
        <f>+SUM(J54:J58)</f>
        <v>2367.56</v>
      </c>
      <c r="K59" s="249">
        <f>+SUM(K54:K58)</f>
        <v>571.4799999999999</v>
      </c>
      <c r="L59" s="250"/>
      <c r="M59" s="250">
        <f>+SUM(L54:M58)</f>
        <v>13307.320000000003</v>
      </c>
      <c r="N59" s="250">
        <f t="shared" ref="N59:S59" si="11">+SUM(N54:N58)</f>
        <v>46</v>
      </c>
      <c r="O59" s="250">
        <f t="shared" si="11"/>
        <v>16578.86</v>
      </c>
      <c r="P59" s="250">
        <f t="shared" si="11"/>
        <v>1155.8800000000001</v>
      </c>
      <c r="Q59" s="250">
        <f t="shared" si="11"/>
        <v>243.78</v>
      </c>
      <c r="R59" s="250">
        <f t="shared" si="11"/>
        <v>474.5</v>
      </c>
      <c r="S59" s="250">
        <f t="shared" si="11"/>
        <v>198025.37999999998</v>
      </c>
      <c r="V59" s="138"/>
    </row>
    <row r="60" spans="1:22" x14ac:dyDescent="0.25">
      <c r="A60" s="219"/>
      <c r="B60" s="220" t="s">
        <v>680</v>
      </c>
      <c r="C60" s="220"/>
      <c r="D60" s="222"/>
      <c r="E60" s="221"/>
      <c r="F60" s="223"/>
      <c r="G60" s="224"/>
      <c r="H60" s="224"/>
      <c r="I60" s="227"/>
      <c r="J60" s="225"/>
      <c r="K60" s="225"/>
      <c r="L60" s="228"/>
      <c r="M60" s="228"/>
      <c r="N60" s="225"/>
      <c r="O60" s="225"/>
      <c r="P60" s="225"/>
      <c r="Q60" s="225"/>
      <c r="R60" s="225"/>
      <c r="S60" s="225"/>
    </row>
    <row r="61" spans="1:22" x14ac:dyDescent="0.25">
      <c r="A61" s="141">
        <v>38</v>
      </c>
      <c r="B61" s="120" t="s">
        <v>681</v>
      </c>
      <c r="C61" s="120" t="s">
        <v>612</v>
      </c>
      <c r="D61" s="132" t="s">
        <v>682</v>
      </c>
      <c r="E61" s="120" t="s">
        <v>614</v>
      </c>
      <c r="F61" s="139">
        <v>29.85</v>
      </c>
      <c r="G61" s="134">
        <v>80</v>
      </c>
      <c r="H61" s="134">
        <v>26</v>
      </c>
      <c r="I61" s="137">
        <f t="shared" ref="I61:I79" si="12">+G61*H61*F61</f>
        <v>62088</v>
      </c>
      <c r="J61" s="135">
        <f t="shared" ref="J61:J78" si="13">+I61*1.45%</f>
        <v>900.27599999999995</v>
      </c>
      <c r="K61" s="121">
        <f t="shared" ref="K61:K78" si="14">+I61*0.35%</f>
        <v>217.30799999999996</v>
      </c>
      <c r="L61" s="478">
        <f>+I61*M$2</f>
        <v>6922.8119999999999</v>
      </c>
      <c r="M61" s="478"/>
      <c r="N61" s="121">
        <f>2.3*4</f>
        <v>9.1999999999999993</v>
      </c>
      <c r="O61" s="121">
        <v>0</v>
      </c>
      <c r="P61" s="121">
        <f>94.28*12</f>
        <v>1131.3600000000001</v>
      </c>
      <c r="Q61" s="121">
        <f>18.72*12</f>
        <v>224.64</v>
      </c>
      <c r="R61" s="121">
        <f>3.65*26</f>
        <v>94.899999999999991</v>
      </c>
      <c r="S61" s="121">
        <f t="shared" ref="S61:S78" si="15">SUM(I61:R61)</f>
        <v>71588.495999999985</v>
      </c>
    </row>
    <row r="62" spans="1:22" s="177" customFormat="1" x14ac:dyDescent="0.25">
      <c r="A62" s="252">
        <v>39</v>
      </c>
      <c r="B62" s="203" t="s">
        <v>632</v>
      </c>
      <c r="C62" s="177" t="s">
        <v>612</v>
      </c>
      <c r="D62" s="178" t="s">
        <v>683</v>
      </c>
      <c r="E62" s="177" t="s">
        <v>617</v>
      </c>
      <c r="F62" s="179">
        <v>25.5</v>
      </c>
      <c r="G62" s="180">
        <v>86</v>
      </c>
      <c r="H62" s="180">
        <v>26</v>
      </c>
      <c r="I62" s="137">
        <f t="shared" si="12"/>
        <v>57018</v>
      </c>
      <c r="J62" s="181">
        <f t="shared" si="13"/>
        <v>826.76099999999997</v>
      </c>
      <c r="K62" s="184">
        <f t="shared" si="14"/>
        <v>199.56299999999999</v>
      </c>
      <c r="L62" s="474">
        <f>+I62*M$2</f>
        <v>6357.5070000000005</v>
      </c>
      <c r="M62" s="474"/>
      <c r="N62" s="184">
        <v>10.87</v>
      </c>
      <c r="O62" s="181">
        <v>8289.43</v>
      </c>
      <c r="P62" s="181">
        <v>577.94000000000005</v>
      </c>
      <c r="Q62" s="181">
        <v>121.89</v>
      </c>
      <c r="R62" s="184">
        <v>94.9</v>
      </c>
      <c r="S62" s="184">
        <f t="shared" si="15"/>
        <v>73496.86099999999</v>
      </c>
    </row>
    <row r="63" spans="1:22" x14ac:dyDescent="0.25">
      <c r="A63" s="141">
        <v>40</v>
      </c>
      <c r="B63" s="131" t="s">
        <v>912</v>
      </c>
      <c r="C63" s="120" t="s">
        <v>612</v>
      </c>
      <c r="D63" s="132" t="s">
        <v>685</v>
      </c>
      <c r="E63" s="120" t="s">
        <v>617</v>
      </c>
      <c r="F63" s="139">
        <v>16</v>
      </c>
      <c r="G63" s="134">
        <v>80</v>
      </c>
      <c r="H63" s="134">
        <v>26</v>
      </c>
      <c r="I63" s="137">
        <f t="shared" si="12"/>
        <v>33280</v>
      </c>
      <c r="J63" s="135">
        <f t="shared" si="13"/>
        <v>482.55999999999995</v>
      </c>
      <c r="K63" s="121">
        <f t="shared" si="14"/>
        <v>116.47999999999999</v>
      </c>
      <c r="L63" s="478">
        <f>+I63*L2</f>
        <v>2712.32</v>
      </c>
      <c r="M63" s="478"/>
      <c r="N63" s="121">
        <f>2.3*4</f>
        <v>9.1999999999999993</v>
      </c>
      <c r="O63" s="135">
        <v>0</v>
      </c>
      <c r="P63" s="135">
        <v>0</v>
      </c>
      <c r="Q63" s="135">
        <v>0</v>
      </c>
      <c r="R63" s="121">
        <f>6.25*26</f>
        <v>162.5</v>
      </c>
      <c r="S63" s="121">
        <f t="shared" si="15"/>
        <v>36763.06</v>
      </c>
    </row>
    <row r="64" spans="1:22" s="177" customFormat="1" x14ac:dyDescent="0.25">
      <c r="A64" s="252">
        <v>41</v>
      </c>
      <c r="B64" s="203" t="s">
        <v>632</v>
      </c>
      <c r="C64" s="177" t="s">
        <v>612</v>
      </c>
      <c r="D64" s="178" t="s">
        <v>687</v>
      </c>
      <c r="E64" s="177" t="s">
        <v>617</v>
      </c>
      <c r="F64" s="179">
        <v>19.5</v>
      </c>
      <c r="G64" s="180">
        <v>80</v>
      </c>
      <c r="H64" s="180">
        <v>26</v>
      </c>
      <c r="I64" s="137">
        <f t="shared" si="12"/>
        <v>40560</v>
      </c>
      <c r="J64" s="181">
        <f t="shared" si="13"/>
        <v>588.12</v>
      </c>
      <c r="K64" s="184">
        <f t="shared" si="14"/>
        <v>141.95999999999998</v>
      </c>
      <c r="L64" s="474">
        <f>+I64*M$2</f>
        <v>4522.4400000000005</v>
      </c>
      <c r="M64" s="474"/>
      <c r="N64" s="184">
        <f>2.3*4</f>
        <v>9.1999999999999993</v>
      </c>
      <c r="O64" s="181">
        <v>8289.43</v>
      </c>
      <c r="P64" s="181">
        <v>577.94000000000005</v>
      </c>
      <c r="Q64" s="181">
        <v>121.89</v>
      </c>
      <c r="R64" s="184">
        <f>3.65*26</f>
        <v>94.899999999999991</v>
      </c>
      <c r="S64" s="184">
        <f t="shared" si="15"/>
        <v>54905.880000000005</v>
      </c>
    </row>
    <row r="65" spans="1:19" x14ac:dyDescent="0.25">
      <c r="A65" s="141">
        <v>42</v>
      </c>
      <c r="B65" s="131" t="s">
        <v>695</v>
      </c>
      <c r="C65" s="120" t="s">
        <v>612</v>
      </c>
      <c r="D65" s="132" t="s">
        <v>687</v>
      </c>
      <c r="E65" s="120" t="s">
        <v>617</v>
      </c>
      <c r="F65" s="139">
        <v>21.16</v>
      </c>
      <c r="G65" s="134">
        <v>80</v>
      </c>
      <c r="H65" s="134">
        <v>26</v>
      </c>
      <c r="I65" s="137">
        <f t="shared" si="12"/>
        <v>44012.800000000003</v>
      </c>
      <c r="J65" s="135">
        <f t="shared" si="13"/>
        <v>638.18560000000002</v>
      </c>
      <c r="K65" s="121">
        <f t="shared" si="14"/>
        <v>154.04479999999998</v>
      </c>
      <c r="L65" s="478">
        <f>+I65*M$2</f>
        <v>4907.4272000000001</v>
      </c>
      <c r="M65" s="478"/>
      <c r="N65" s="121">
        <f>2.3*4</f>
        <v>9.1999999999999993</v>
      </c>
      <c r="O65" s="121">
        <f>202.27*24</f>
        <v>4854.4800000000005</v>
      </c>
      <c r="P65" s="135">
        <f>29.96*12</f>
        <v>359.52</v>
      </c>
      <c r="Q65" s="135">
        <v>0</v>
      </c>
      <c r="R65" s="121">
        <f>3.65*26</f>
        <v>94.899999999999991</v>
      </c>
      <c r="S65" s="121">
        <f t="shared" si="15"/>
        <v>55030.5576</v>
      </c>
    </row>
    <row r="66" spans="1:19" x14ac:dyDescent="0.25">
      <c r="A66" s="141"/>
      <c r="B66" s="131" t="s">
        <v>688</v>
      </c>
      <c r="C66" s="120" t="s">
        <v>612</v>
      </c>
      <c r="D66" s="132" t="s">
        <v>687</v>
      </c>
      <c r="E66" s="120" t="s">
        <v>689</v>
      </c>
      <c r="F66" s="139">
        <v>15</v>
      </c>
      <c r="G66" s="134">
        <v>14</v>
      </c>
      <c r="H66" s="134">
        <v>26</v>
      </c>
      <c r="I66" s="137">
        <f t="shared" si="12"/>
        <v>5460</v>
      </c>
      <c r="J66" s="135">
        <f t="shared" si="13"/>
        <v>79.169999999999987</v>
      </c>
      <c r="K66" s="121">
        <f t="shared" si="14"/>
        <v>19.11</v>
      </c>
      <c r="L66" s="478">
        <v>0</v>
      </c>
      <c r="M66" s="478"/>
      <c r="N66" s="121">
        <v>0</v>
      </c>
      <c r="O66" s="121">
        <v>0</v>
      </c>
      <c r="P66" s="135">
        <v>0</v>
      </c>
      <c r="Q66" s="135">
        <v>0</v>
      </c>
      <c r="R66" s="121">
        <v>0</v>
      </c>
      <c r="S66" s="121">
        <f t="shared" si="15"/>
        <v>5558.28</v>
      </c>
    </row>
    <row r="67" spans="1:19" x14ac:dyDescent="0.25">
      <c r="A67" s="141">
        <v>43</v>
      </c>
      <c r="B67" s="120" t="s">
        <v>716</v>
      </c>
      <c r="C67" s="120" t="s">
        <v>612</v>
      </c>
      <c r="D67" s="132" t="s">
        <v>714</v>
      </c>
      <c r="E67" s="120" t="s">
        <v>617</v>
      </c>
      <c r="F67" s="139">
        <v>24.49</v>
      </c>
      <c r="G67" s="134">
        <v>86</v>
      </c>
      <c r="H67" s="134">
        <v>26</v>
      </c>
      <c r="I67" s="137">
        <f t="shared" si="12"/>
        <v>54759.64</v>
      </c>
      <c r="J67" s="135">
        <f t="shared" si="13"/>
        <v>794.01477999999997</v>
      </c>
      <c r="K67" s="121">
        <f t="shared" si="14"/>
        <v>191.65873999999997</v>
      </c>
      <c r="L67" s="478">
        <f t="shared" ref="L67:L79" si="16">+I67*M$2</f>
        <v>6105.6998599999997</v>
      </c>
      <c r="M67" s="478"/>
      <c r="N67" s="121">
        <f t="shared" ref="N67:N79" si="17">2.3*4</f>
        <v>9.1999999999999993</v>
      </c>
      <c r="O67" s="135">
        <f>269.63*24</f>
        <v>6471.12</v>
      </c>
      <c r="P67" s="135">
        <f>29.96*12</f>
        <v>359.52</v>
      </c>
      <c r="Q67" s="135">
        <f>(8.08*0.8)*12</f>
        <v>77.568000000000012</v>
      </c>
      <c r="R67" s="121">
        <f t="shared" ref="R67:R73" si="18">3.65*26</f>
        <v>94.899999999999991</v>
      </c>
      <c r="S67" s="121">
        <f t="shared" si="15"/>
        <v>68863.321379999994</v>
      </c>
    </row>
    <row r="68" spans="1:19" x14ac:dyDescent="0.25">
      <c r="A68" s="141">
        <v>44</v>
      </c>
      <c r="B68" s="120" t="s">
        <v>718</v>
      </c>
      <c r="C68" s="120" t="s">
        <v>612</v>
      </c>
      <c r="D68" s="132" t="s">
        <v>913</v>
      </c>
      <c r="E68" s="120" t="s">
        <v>617</v>
      </c>
      <c r="F68" s="139">
        <f>4.1+20.18</f>
        <v>24.28</v>
      </c>
      <c r="G68" s="134">
        <v>86</v>
      </c>
      <c r="H68" s="134">
        <v>26</v>
      </c>
      <c r="I68" s="137">
        <f t="shared" si="12"/>
        <v>54290.080000000002</v>
      </c>
      <c r="J68" s="135">
        <f t="shared" si="13"/>
        <v>787.20615999999995</v>
      </c>
      <c r="K68" s="121">
        <f t="shared" si="14"/>
        <v>190.01527999999999</v>
      </c>
      <c r="L68" s="478">
        <f t="shared" si="16"/>
        <v>6053.3439200000003</v>
      </c>
      <c r="M68" s="478"/>
      <c r="N68" s="121">
        <f t="shared" si="17"/>
        <v>9.1999999999999993</v>
      </c>
      <c r="O68" s="135">
        <v>0</v>
      </c>
      <c r="P68" s="135">
        <v>0</v>
      </c>
      <c r="Q68" s="135">
        <v>0</v>
      </c>
      <c r="R68" s="121">
        <f t="shared" si="18"/>
        <v>94.899999999999991</v>
      </c>
      <c r="S68" s="121">
        <f t="shared" si="15"/>
        <v>61424.745360000001</v>
      </c>
    </row>
    <row r="69" spans="1:19" x14ac:dyDescent="0.25">
      <c r="A69" s="141">
        <v>45</v>
      </c>
      <c r="B69" s="131" t="s">
        <v>719</v>
      </c>
      <c r="C69" s="120" t="s">
        <v>612</v>
      </c>
      <c r="D69" s="132" t="s">
        <v>913</v>
      </c>
      <c r="E69" s="120" t="s">
        <v>617</v>
      </c>
      <c r="F69" s="139">
        <v>22.72</v>
      </c>
      <c r="G69" s="134">
        <v>86</v>
      </c>
      <c r="H69" s="134">
        <v>26</v>
      </c>
      <c r="I69" s="137">
        <f t="shared" si="12"/>
        <v>50801.919999999998</v>
      </c>
      <c r="J69" s="135">
        <f t="shared" si="13"/>
        <v>736.62783999999988</v>
      </c>
      <c r="K69" s="121">
        <f t="shared" si="14"/>
        <v>177.80671999999998</v>
      </c>
      <c r="L69" s="478">
        <f t="shared" si="16"/>
        <v>5664.4140799999996</v>
      </c>
      <c r="M69" s="478"/>
      <c r="N69" s="121">
        <f t="shared" si="17"/>
        <v>9.1999999999999993</v>
      </c>
      <c r="O69" s="135">
        <v>0</v>
      </c>
      <c r="P69" s="135">
        <v>0</v>
      </c>
      <c r="Q69" s="135">
        <v>0</v>
      </c>
      <c r="R69" s="121">
        <f t="shared" si="18"/>
        <v>94.899999999999991</v>
      </c>
      <c r="S69" s="121">
        <f t="shared" si="15"/>
        <v>57484.868640000001</v>
      </c>
    </row>
    <row r="70" spans="1:19" s="177" customFormat="1" x14ac:dyDescent="0.25">
      <c r="A70" s="141">
        <v>46</v>
      </c>
      <c r="B70" s="176" t="s">
        <v>632</v>
      </c>
      <c r="C70" s="177" t="s">
        <v>612</v>
      </c>
      <c r="D70" s="178" t="s">
        <v>913</v>
      </c>
      <c r="E70" s="177" t="s">
        <v>617</v>
      </c>
      <c r="F70" s="179">
        <v>21.5</v>
      </c>
      <c r="G70" s="180">
        <v>86</v>
      </c>
      <c r="H70" s="180">
        <v>26</v>
      </c>
      <c r="I70" s="137">
        <f t="shared" si="12"/>
        <v>48074</v>
      </c>
      <c r="J70" s="181">
        <f t="shared" si="13"/>
        <v>697.07299999999998</v>
      </c>
      <c r="K70" s="184">
        <f t="shared" si="14"/>
        <v>168.25899999999999</v>
      </c>
      <c r="L70" s="474">
        <f t="shared" si="16"/>
        <v>5360.2510000000002</v>
      </c>
      <c r="M70" s="474"/>
      <c r="N70" s="184">
        <f t="shared" si="17"/>
        <v>9.1999999999999993</v>
      </c>
      <c r="O70" s="184">
        <v>8289.43</v>
      </c>
      <c r="P70" s="181">
        <v>577.94000000000005</v>
      </c>
      <c r="Q70" s="181">
        <v>121.89</v>
      </c>
      <c r="R70" s="184">
        <v>94.9</v>
      </c>
      <c r="S70" s="184">
        <f t="shared" si="15"/>
        <v>63392.942999999999</v>
      </c>
    </row>
    <row r="71" spans="1:19" x14ac:dyDescent="0.25">
      <c r="A71" s="141">
        <v>47</v>
      </c>
      <c r="B71" s="131" t="s">
        <v>690</v>
      </c>
      <c r="C71" s="120" t="s">
        <v>612</v>
      </c>
      <c r="D71" s="132" t="s">
        <v>691</v>
      </c>
      <c r="E71" s="120" t="s">
        <v>617</v>
      </c>
      <c r="F71" s="139">
        <v>20.73</v>
      </c>
      <c r="G71" s="134">
        <v>86</v>
      </c>
      <c r="H71" s="134">
        <v>26</v>
      </c>
      <c r="I71" s="137">
        <f t="shared" si="12"/>
        <v>46352.28</v>
      </c>
      <c r="J71" s="135">
        <f t="shared" si="13"/>
        <v>672.10805999999991</v>
      </c>
      <c r="K71" s="121">
        <f t="shared" si="14"/>
        <v>162.23297999999997</v>
      </c>
      <c r="L71" s="478">
        <f t="shared" si="16"/>
        <v>5168.2792200000004</v>
      </c>
      <c r="M71" s="478"/>
      <c r="N71" s="121">
        <f t="shared" si="17"/>
        <v>9.1999999999999993</v>
      </c>
      <c r="O71" s="135">
        <f>197.64*24</f>
        <v>4743.3599999999997</v>
      </c>
      <c r="P71" s="135">
        <f>29.96*12</f>
        <v>359.52</v>
      </c>
      <c r="Q71" s="135">
        <f>+(8.08*0.8)*12</f>
        <v>77.568000000000012</v>
      </c>
      <c r="R71" s="121">
        <f t="shared" si="18"/>
        <v>94.899999999999991</v>
      </c>
      <c r="S71" s="121">
        <f t="shared" si="15"/>
        <v>57639.44825999999</v>
      </c>
    </row>
    <row r="72" spans="1:19" s="131" customFormat="1" x14ac:dyDescent="0.25">
      <c r="A72" s="141">
        <v>48</v>
      </c>
      <c r="B72" s="131" t="s">
        <v>692</v>
      </c>
      <c r="C72" s="131" t="s">
        <v>612</v>
      </c>
      <c r="D72" s="234" t="s">
        <v>691</v>
      </c>
      <c r="E72" s="131" t="s">
        <v>617</v>
      </c>
      <c r="F72" s="133">
        <v>19.07</v>
      </c>
      <c r="G72" s="328">
        <v>86</v>
      </c>
      <c r="H72" s="328">
        <v>26</v>
      </c>
      <c r="I72" s="137">
        <f t="shared" si="12"/>
        <v>42640.520000000004</v>
      </c>
      <c r="J72" s="135">
        <f t="shared" si="13"/>
        <v>618.28754000000004</v>
      </c>
      <c r="K72" s="135">
        <f t="shared" si="14"/>
        <v>149.24181999999999</v>
      </c>
      <c r="L72" s="479">
        <f t="shared" si="16"/>
        <v>4754.4179800000002</v>
      </c>
      <c r="M72" s="479"/>
      <c r="N72" s="135">
        <f t="shared" si="17"/>
        <v>9.1999999999999993</v>
      </c>
      <c r="O72" s="135">
        <f>197.64*24</f>
        <v>4743.3599999999997</v>
      </c>
      <c r="P72" s="135">
        <f>29.96*12</f>
        <v>359.52</v>
      </c>
      <c r="Q72" s="135">
        <f>+(8.08*0.8)*12</f>
        <v>77.568000000000012</v>
      </c>
      <c r="R72" s="135">
        <f t="shared" si="18"/>
        <v>94.899999999999991</v>
      </c>
      <c r="S72" s="135">
        <f t="shared" si="15"/>
        <v>53447.015339999998</v>
      </c>
    </row>
    <row r="73" spans="1:19" x14ac:dyDescent="0.25">
      <c r="A73" s="141">
        <v>49</v>
      </c>
      <c r="B73" s="120" t="s">
        <v>693</v>
      </c>
      <c r="C73" s="120" t="s">
        <v>612</v>
      </c>
      <c r="D73" s="132" t="s">
        <v>691</v>
      </c>
      <c r="E73" s="120" t="s">
        <v>617</v>
      </c>
      <c r="F73" s="139">
        <v>20.18</v>
      </c>
      <c r="G73" s="134">
        <v>86</v>
      </c>
      <c r="H73" s="134">
        <v>26</v>
      </c>
      <c r="I73" s="137">
        <f t="shared" si="12"/>
        <v>45122.479999999996</v>
      </c>
      <c r="J73" s="135">
        <f t="shared" si="13"/>
        <v>654.27595999999994</v>
      </c>
      <c r="K73" s="121">
        <f t="shared" si="14"/>
        <v>157.92867999999996</v>
      </c>
      <c r="L73" s="478">
        <f t="shared" si="16"/>
        <v>5031.1565199999995</v>
      </c>
      <c r="M73" s="478"/>
      <c r="N73" s="121">
        <f t="shared" si="17"/>
        <v>9.1999999999999993</v>
      </c>
      <c r="O73" s="135">
        <v>0</v>
      </c>
      <c r="P73" s="135">
        <v>0</v>
      </c>
      <c r="Q73" s="135">
        <v>0</v>
      </c>
      <c r="R73" s="121">
        <f t="shared" si="18"/>
        <v>94.899999999999991</v>
      </c>
      <c r="S73" s="121">
        <f t="shared" si="15"/>
        <v>51069.941159999988</v>
      </c>
    </row>
    <row r="74" spans="1:19" x14ac:dyDescent="0.25">
      <c r="A74" s="141">
        <v>50</v>
      </c>
      <c r="B74" s="120" t="s">
        <v>694</v>
      </c>
      <c r="C74" s="120" t="s">
        <v>612</v>
      </c>
      <c r="D74" s="132" t="s">
        <v>691</v>
      </c>
      <c r="E74" s="120" t="s">
        <v>617</v>
      </c>
      <c r="F74" s="139">
        <v>19.07</v>
      </c>
      <c r="G74" s="134">
        <v>86</v>
      </c>
      <c r="H74" s="134">
        <v>26</v>
      </c>
      <c r="I74" s="137">
        <f t="shared" si="12"/>
        <v>42640.520000000004</v>
      </c>
      <c r="J74" s="135">
        <f t="shared" si="13"/>
        <v>618.28754000000004</v>
      </c>
      <c r="K74" s="121">
        <f t="shared" si="14"/>
        <v>149.24181999999999</v>
      </c>
      <c r="L74" s="478">
        <f t="shared" si="16"/>
        <v>4754.4179800000002</v>
      </c>
      <c r="M74" s="478"/>
      <c r="N74" s="121">
        <f t="shared" si="17"/>
        <v>9.1999999999999993</v>
      </c>
      <c r="O74" s="135">
        <f>197.64*24</f>
        <v>4743.3599999999997</v>
      </c>
      <c r="P74" s="135">
        <f>29.96*12</f>
        <v>359.52</v>
      </c>
      <c r="Q74" s="135">
        <f>+(8.08*0.8)*12</f>
        <v>77.568000000000012</v>
      </c>
      <c r="R74" s="121">
        <f>3.67*26</f>
        <v>95.42</v>
      </c>
      <c r="S74" s="121">
        <f t="shared" si="15"/>
        <v>53447.535339999995</v>
      </c>
    </row>
    <row r="75" spans="1:19" x14ac:dyDescent="0.25">
      <c r="A75" s="141">
        <v>51</v>
      </c>
      <c r="B75" s="120" t="s">
        <v>696</v>
      </c>
      <c r="C75" s="120" t="s">
        <v>612</v>
      </c>
      <c r="D75" s="132" t="s">
        <v>691</v>
      </c>
      <c r="E75" s="120" t="s">
        <v>617</v>
      </c>
      <c r="F75" s="139">
        <v>20.18</v>
      </c>
      <c r="G75" s="134">
        <v>86</v>
      </c>
      <c r="H75" s="134">
        <v>26</v>
      </c>
      <c r="I75" s="137">
        <f t="shared" si="12"/>
        <v>45122.479999999996</v>
      </c>
      <c r="J75" s="135">
        <f t="shared" si="13"/>
        <v>654.27595999999994</v>
      </c>
      <c r="K75" s="121">
        <f t="shared" si="14"/>
        <v>157.92867999999996</v>
      </c>
      <c r="L75" s="478">
        <f t="shared" si="16"/>
        <v>5031.1565199999995</v>
      </c>
      <c r="M75" s="478"/>
      <c r="N75" s="121">
        <f t="shared" si="17"/>
        <v>9.1999999999999993</v>
      </c>
      <c r="O75" s="135">
        <f>234.31*24</f>
        <v>5623.4400000000005</v>
      </c>
      <c r="P75" s="135">
        <f>29.96*12</f>
        <v>359.52</v>
      </c>
      <c r="Q75" s="135">
        <f>8.08*0.8*12</f>
        <v>77.568000000000012</v>
      </c>
      <c r="R75" s="121">
        <f>3.65*26</f>
        <v>94.899999999999991</v>
      </c>
      <c r="S75" s="121">
        <f t="shared" si="15"/>
        <v>57130.469159999986</v>
      </c>
    </row>
    <row r="76" spans="1:19" x14ac:dyDescent="0.25">
      <c r="A76" s="141">
        <v>52</v>
      </c>
      <c r="B76" s="131" t="s">
        <v>697</v>
      </c>
      <c r="C76" s="120" t="s">
        <v>612</v>
      </c>
      <c r="D76" s="132" t="s">
        <v>691</v>
      </c>
      <c r="E76" s="120" t="s">
        <v>617</v>
      </c>
      <c r="F76" s="139">
        <v>19.07</v>
      </c>
      <c r="G76" s="134">
        <v>86</v>
      </c>
      <c r="H76" s="134">
        <v>26</v>
      </c>
      <c r="I76" s="137">
        <f t="shared" si="12"/>
        <v>42640.520000000004</v>
      </c>
      <c r="J76" s="135">
        <f t="shared" si="13"/>
        <v>618.28754000000004</v>
      </c>
      <c r="K76" s="121">
        <f t="shared" si="14"/>
        <v>149.24181999999999</v>
      </c>
      <c r="L76" s="478">
        <f t="shared" si="16"/>
        <v>4754.4179800000002</v>
      </c>
      <c r="M76" s="478"/>
      <c r="N76" s="121">
        <f t="shared" si="17"/>
        <v>9.1999999999999993</v>
      </c>
      <c r="O76" s="121">
        <f>349.92*24</f>
        <v>8398.08</v>
      </c>
      <c r="P76" s="135">
        <v>0</v>
      </c>
      <c r="Q76" s="135">
        <f>8.08*0.8*12</f>
        <v>77.568000000000012</v>
      </c>
      <c r="R76" s="121">
        <f>3.65*26</f>
        <v>94.899999999999991</v>
      </c>
      <c r="S76" s="121">
        <f t="shared" si="15"/>
        <v>56742.215340000002</v>
      </c>
    </row>
    <row r="77" spans="1:19" x14ac:dyDescent="0.25">
      <c r="A77" s="141">
        <v>53</v>
      </c>
      <c r="B77" s="131" t="s">
        <v>911</v>
      </c>
      <c r="C77" s="120" t="s">
        <v>612</v>
      </c>
      <c r="D77" s="132" t="s">
        <v>691</v>
      </c>
      <c r="E77" s="120" t="s">
        <v>617</v>
      </c>
      <c r="F77" s="139">
        <v>17.690000000000001</v>
      </c>
      <c r="G77" s="134">
        <v>86</v>
      </c>
      <c r="H77" s="134">
        <v>26</v>
      </c>
      <c r="I77" s="137">
        <f t="shared" si="12"/>
        <v>39554.840000000004</v>
      </c>
      <c r="J77" s="135">
        <f t="shared" si="13"/>
        <v>573.54517999999996</v>
      </c>
      <c r="K77" s="121">
        <f t="shared" si="14"/>
        <v>138.44193999999999</v>
      </c>
      <c r="L77" s="478">
        <f t="shared" si="16"/>
        <v>4410.3646600000002</v>
      </c>
      <c r="M77" s="478"/>
      <c r="N77" s="121">
        <f t="shared" si="17"/>
        <v>9.1999999999999993</v>
      </c>
      <c r="O77" s="181">
        <v>8289.43</v>
      </c>
      <c r="P77" s="181">
        <v>577.94000000000005</v>
      </c>
      <c r="Q77" s="181">
        <v>121.89</v>
      </c>
      <c r="R77" s="121">
        <f>3.65*26</f>
        <v>94.899999999999991</v>
      </c>
      <c r="S77" s="121">
        <f t="shared" si="15"/>
        <v>53770.551780000002</v>
      </c>
    </row>
    <row r="78" spans="1:19" x14ac:dyDescent="0.25">
      <c r="A78" s="141">
        <v>54</v>
      </c>
      <c r="B78" s="131" t="s">
        <v>721</v>
      </c>
      <c r="C78" s="120" t="s">
        <v>612</v>
      </c>
      <c r="D78" s="132" t="s">
        <v>691</v>
      </c>
      <c r="E78" s="120" t="s">
        <v>617</v>
      </c>
      <c r="F78" s="139">
        <v>17.690000000000001</v>
      </c>
      <c r="G78" s="134">
        <v>86</v>
      </c>
      <c r="H78" s="134">
        <v>26</v>
      </c>
      <c r="I78" s="137">
        <f t="shared" si="12"/>
        <v>39554.840000000004</v>
      </c>
      <c r="J78" s="135">
        <f t="shared" si="13"/>
        <v>573.54517999999996</v>
      </c>
      <c r="K78" s="121">
        <f t="shared" si="14"/>
        <v>138.44193999999999</v>
      </c>
      <c r="L78" s="478">
        <f t="shared" si="16"/>
        <v>4410.3646600000002</v>
      </c>
      <c r="M78" s="478"/>
      <c r="N78" s="121">
        <f t="shared" si="17"/>
        <v>9.1999999999999993</v>
      </c>
      <c r="O78" s="121">
        <f>(147.65+456.65)*24</f>
        <v>14503.199999999999</v>
      </c>
      <c r="P78" s="135">
        <f>63.53*12</f>
        <v>762.36</v>
      </c>
      <c r="Q78" s="135">
        <v>0</v>
      </c>
      <c r="R78" s="121">
        <f>7.3*26</f>
        <v>189.79999999999998</v>
      </c>
      <c r="S78" s="121">
        <f t="shared" si="15"/>
        <v>60141.751779999999</v>
      </c>
    </row>
    <row r="79" spans="1:19" s="177" customFormat="1" x14ac:dyDescent="0.25">
      <c r="A79" s="141">
        <v>55</v>
      </c>
      <c r="B79" s="176" t="s">
        <v>632</v>
      </c>
      <c r="C79" s="177" t="s">
        <v>612</v>
      </c>
      <c r="D79" s="178" t="s">
        <v>691</v>
      </c>
      <c r="E79" s="177" t="s">
        <v>617</v>
      </c>
      <c r="F79" s="179">
        <v>17.690000000000001</v>
      </c>
      <c r="G79" s="180">
        <v>86</v>
      </c>
      <c r="H79" s="180">
        <v>26</v>
      </c>
      <c r="I79" s="137">
        <f t="shared" si="12"/>
        <v>39554.840000000004</v>
      </c>
      <c r="J79" s="181">
        <f t="shared" ref="J79" si="19">+I79*1.45%</f>
        <v>573.54517999999996</v>
      </c>
      <c r="K79" s="184">
        <f t="shared" ref="K79" si="20">+I79*0.35%</f>
        <v>138.44193999999999</v>
      </c>
      <c r="L79" s="474">
        <f t="shared" si="16"/>
        <v>4410.3646600000002</v>
      </c>
      <c r="M79" s="474"/>
      <c r="N79" s="184">
        <f t="shared" si="17"/>
        <v>9.1999999999999993</v>
      </c>
      <c r="O79" s="184">
        <v>8289.43</v>
      </c>
      <c r="P79" s="181">
        <v>577.94000000000005</v>
      </c>
      <c r="Q79" s="181">
        <v>121.89</v>
      </c>
      <c r="R79" s="184">
        <v>94.9</v>
      </c>
      <c r="S79" s="184">
        <f t="shared" ref="S79" si="21">SUM(I79:R79)</f>
        <v>53770.551780000002</v>
      </c>
    </row>
    <row r="80" spans="1:19" x14ac:dyDescent="0.25">
      <c r="A80" s="141"/>
      <c r="B80" s="120" t="s">
        <v>698</v>
      </c>
      <c r="I80" s="137">
        <v>55000</v>
      </c>
      <c r="J80" s="135">
        <f>+I80*1.45%</f>
        <v>797.5</v>
      </c>
      <c r="K80" s="121">
        <f>+I80*0.35%</f>
        <v>192.49999999999997</v>
      </c>
      <c r="L80" s="478">
        <v>0</v>
      </c>
      <c r="M80" s="478"/>
      <c r="N80" s="121">
        <v>0</v>
      </c>
      <c r="O80" s="135">
        <v>0</v>
      </c>
      <c r="P80" s="135">
        <v>0</v>
      </c>
      <c r="Q80" s="135">
        <v>0</v>
      </c>
      <c r="R80" s="135">
        <v>0</v>
      </c>
      <c r="S80" s="121">
        <f>SUM(I80:R80)</f>
        <v>55990</v>
      </c>
    </row>
    <row r="81" spans="1:21" x14ac:dyDescent="0.25">
      <c r="A81" s="143"/>
      <c r="B81" s="144"/>
      <c r="C81" s="144"/>
      <c r="D81" s="144"/>
      <c r="E81" s="144"/>
      <c r="F81" s="146"/>
      <c r="G81" s="147"/>
      <c r="H81" s="147"/>
      <c r="I81" s="229">
        <f>+SUM(I61:I80)</f>
        <v>888527.75999999989</v>
      </c>
      <c r="J81" s="230">
        <f>+SUM(J61:J80)</f>
        <v>12883.652519999996</v>
      </c>
      <c r="K81" s="230">
        <f>+SUM(K61:K80)</f>
        <v>3109.8471600000007</v>
      </c>
      <c r="L81" s="230"/>
      <c r="M81" s="230">
        <f>+SUM(L61:M80)</f>
        <v>91331.155240000022</v>
      </c>
      <c r="N81" s="230">
        <f t="shared" ref="N81:S81" si="22">+SUM(N61:N80)</f>
        <v>167.26999999999998</v>
      </c>
      <c r="O81" s="230">
        <f t="shared" si="22"/>
        <v>95527.550000000017</v>
      </c>
      <c r="P81" s="230">
        <f t="shared" si="22"/>
        <v>6940.5400000000009</v>
      </c>
      <c r="Q81" s="230">
        <f t="shared" si="22"/>
        <v>1299.498</v>
      </c>
      <c r="R81" s="230">
        <f t="shared" si="22"/>
        <v>1871.2200000000005</v>
      </c>
      <c r="S81" s="230">
        <f t="shared" si="22"/>
        <v>1101658.4929199999</v>
      </c>
      <c r="U81" s="138"/>
    </row>
    <row r="82" spans="1:21" s="333" customFormat="1" x14ac:dyDescent="0.25">
      <c r="A82" s="253"/>
      <c r="B82" s="329" t="s">
        <v>699</v>
      </c>
      <c r="C82" s="329"/>
      <c r="D82" s="255"/>
      <c r="E82" s="329"/>
      <c r="F82" s="330"/>
      <c r="G82" s="331"/>
      <c r="H82" s="331"/>
      <c r="I82" s="260"/>
      <c r="J82" s="260"/>
      <c r="K82" s="260"/>
      <c r="L82" s="332"/>
      <c r="M82" s="332"/>
      <c r="N82" s="260"/>
      <c r="O82" s="260"/>
      <c r="P82" s="260"/>
      <c r="Q82" s="260"/>
      <c r="R82" s="260"/>
      <c r="S82" s="260"/>
    </row>
    <row r="83" spans="1:21" s="177" customFormat="1" x14ac:dyDescent="0.25">
      <c r="A83" s="175">
        <v>56</v>
      </c>
      <c r="B83" s="203" t="s">
        <v>632</v>
      </c>
      <c r="C83" s="177" t="s">
        <v>612</v>
      </c>
      <c r="D83" s="178" t="s">
        <v>701</v>
      </c>
      <c r="E83" s="177" t="s">
        <v>617</v>
      </c>
      <c r="F83" s="179">
        <v>20.5</v>
      </c>
      <c r="G83" s="180">
        <v>80</v>
      </c>
      <c r="H83" s="180">
        <v>26</v>
      </c>
      <c r="I83" s="327">
        <f>+G83*H83*F83</f>
        <v>42640</v>
      </c>
      <c r="J83" s="181">
        <f>+I83*1.45%</f>
        <v>618.28</v>
      </c>
      <c r="K83" s="181">
        <f>+I83*0.35%</f>
        <v>149.23999999999998</v>
      </c>
      <c r="L83" s="483">
        <f>+I83*L$2</f>
        <v>3475.1600000000003</v>
      </c>
      <c r="M83" s="483"/>
      <c r="N83" s="181">
        <f>2.3*4</f>
        <v>9.1999999999999993</v>
      </c>
      <c r="O83" s="181">
        <v>8289.43</v>
      </c>
      <c r="P83" s="181">
        <v>577.94000000000005</v>
      </c>
      <c r="Q83" s="181">
        <v>121.89</v>
      </c>
      <c r="R83" s="181">
        <f>3.65*26</f>
        <v>94.899999999999991</v>
      </c>
      <c r="S83" s="181">
        <f>SUM(I83:R83)</f>
        <v>55976.04</v>
      </c>
    </row>
    <row r="84" spans="1:21" s="177" customFormat="1" x14ac:dyDescent="0.25">
      <c r="A84" s="175">
        <v>57</v>
      </c>
      <c r="B84" s="203" t="s">
        <v>632</v>
      </c>
      <c r="C84" s="177" t="s">
        <v>612</v>
      </c>
      <c r="D84" s="178" t="s">
        <v>703</v>
      </c>
      <c r="E84" s="177" t="s">
        <v>617</v>
      </c>
      <c r="F84" s="236">
        <v>15.5</v>
      </c>
      <c r="G84" s="180">
        <v>80</v>
      </c>
      <c r="H84" s="180">
        <v>26</v>
      </c>
      <c r="I84" s="327">
        <f>+G84*H84*F84</f>
        <v>32240</v>
      </c>
      <c r="J84" s="181">
        <f>+I84*1.45%</f>
        <v>467.47999999999996</v>
      </c>
      <c r="K84" s="181">
        <f>+I84*0.35%</f>
        <v>112.83999999999999</v>
      </c>
      <c r="L84" s="483">
        <f>+I84*L$2</f>
        <v>2627.56</v>
      </c>
      <c r="M84" s="483"/>
      <c r="N84" s="181">
        <f>2.3*4</f>
        <v>9.1999999999999993</v>
      </c>
      <c r="O84" s="181">
        <v>8289.43</v>
      </c>
      <c r="P84" s="181">
        <v>577.94000000000005</v>
      </c>
      <c r="Q84" s="181">
        <v>121.89</v>
      </c>
      <c r="R84" s="181">
        <f>3.65*26</f>
        <v>94.899999999999991</v>
      </c>
      <c r="S84" s="181">
        <f>SUM(I84:R84)</f>
        <v>44541.24</v>
      </c>
    </row>
    <row r="85" spans="1:21" s="177" customFormat="1" x14ac:dyDescent="0.25">
      <c r="A85" s="175">
        <v>58</v>
      </c>
      <c r="B85" s="203" t="s">
        <v>632</v>
      </c>
      <c r="C85" s="177" t="s">
        <v>612</v>
      </c>
      <c r="D85" s="178" t="s">
        <v>703</v>
      </c>
      <c r="E85" s="177" t="s">
        <v>617</v>
      </c>
      <c r="F85" s="236">
        <v>15.5</v>
      </c>
      <c r="G85" s="180">
        <v>80</v>
      </c>
      <c r="H85" s="180">
        <v>26</v>
      </c>
      <c r="I85" s="327">
        <f>+G85*H85*F85</f>
        <v>32240</v>
      </c>
      <c r="J85" s="181">
        <f>+I85*1.45%</f>
        <v>467.47999999999996</v>
      </c>
      <c r="K85" s="181">
        <f>+I85*0.35%</f>
        <v>112.83999999999999</v>
      </c>
      <c r="L85" s="483">
        <f>+I85*L$2</f>
        <v>2627.56</v>
      </c>
      <c r="M85" s="483"/>
      <c r="N85" s="181">
        <f>2.3*4</f>
        <v>9.1999999999999993</v>
      </c>
      <c r="O85" s="184">
        <v>8289.43</v>
      </c>
      <c r="P85" s="181">
        <v>577.94000000000005</v>
      </c>
      <c r="Q85" s="181">
        <v>121.89</v>
      </c>
      <c r="R85" s="181">
        <f>3.65*26</f>
        <v>94.899999999999991</v>
      </c>
      <c r="S85" s="181">
        <f>SUM(I85:R85)</f>
        <v>44541.24</v>
      </c>
    </row>
    <row r="86" spans="1:21" x14ac:dyDescent="0.25">
      <c r="B86" s="120" t="s">
        <v>698</v>
      </c>
      <c r="D86" s="132"/>
      <c r="I86" s="137">
        <v>6000</v>
      </c>
      <c r="J86" s="135">
        <f>+I86*1.45%</f>
        <v>87</v>
      </c>
      <c r="K86" s="135">
        <f>+I86*0.35%</f>
        <v>20.999999999999996</v>
      </c>
      <c r="L86" s="476">
        <v>0</v>
      </c>
      <c r="M86" s="476"/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f>SUM(I86:R86)</f>
        <v>6108</v>
      </c>
    </row>
    <row r="87" spans="1:21" x14ac:dyDescent="0.25">
      <c r="A87" s="143"/>
      <c r="B87" s="144"/>
      <c r="C87" s="144"/>
      <c r="D87" s="144"/>
      <c r="E87" s="144"/>
      <c r="F87" s="146"/>
      <c r="G87" s="147"/>
      <c r="H87" s="147"/>
      <c r="I87" s="262">
        <f>SUM(I83:I86)</f>
        <v>113120</v>
      </c>
      <c r="J87" s="263">
        <f>SUM(J83:J86)</f>
        <v>1640.24</v>
      </c>
      <c r="K87" s="263">
        <f>SUM(K83:K86)</f>
        <v>395.91999999999996</v>
      </c>
      <c r="L87" s="263"/>
      <c r="M87" s="263">
        <f>+SUM(L83:M86)</f>
        <v>8730.2800000000007</v>
      </c>
      <c r="N87" s="263">
        <f t="shared" ref="N87:S87" si="23">SUM(N83:N86)</f>
        <v>27.599999999999998</v>
      </c>
      <c r="O87" s="263">
        <f t="shared" si="23"/>
        <v>24868.29</v>
      </c>
      <c r="P87" s="263">
        <f t="shared" si="23"/>
        <v>1733.8200000000002</v>
      </c>
      <c r="Q87" s="263">
        <f t="shared" si="23"/>
        <v>365.67</v>
      </c>
      <c r="R87" s="263">
        <f t="shared" si="23"/>
        <v>284.7</v>
      </c>
      <c r="S87" s="263">
        <f t="shared" si="23"/>
        <v>151166.51999999999</v>
      </c>
    </row>
    <row r="88" spans="1:21" x14ac:dyDescent="0.25">
      <c r="A88" s="264"/>
      <c r="B88" s="265" t="s">
        <v>705</v>
      </c>
      <c r="C88" s="265"/>
      <c r="D88" s="266"/>
      <c r="E88" s="267"/>
      <c r="F88" s="268"/>
      <c r="G88" s="269"/>
      <c r="H88" s="269"/>
      <c r="I88" s="272"/>
      <c r="J88" s="270"/>
      <c r="K88" s="270"/>
      <c r="L88" s="273"/>
      <c r="M88" s="273"/>
      <c r="N88" s="270"/>
      <c r="O88" s="270"/>
      <c r="P88" s="270"/>
      <c r="Q88" s="270"/>
      <c r="R88" s="270"/>
      <c r="S88" s="270"/>
    </row>
    <row r="89" spans="1:21" x14ac:dyDescent="0.25">
      <c r="A89" s="141">
        <v>59</v>
      </c>
      <c r="B89" s="131" t="s">
        <v>706</v>
      </c>
      <c r="C89" s="120" t="s">
        <v>612</v>
      </c>
      <c r="D89" s="132" t="s">
        <v>707</v>
      </c>
      <c r="E89" s="120" t="s">
        <v>617</v>
      </c>
      <c r="F89" s="139">
        <v>21.68</v>
      </c>
      <c r="G89" s="134">
        <v>80</v>
      </c>
      <c r="H89" s="134">
        <v>26</v>
      </c>
      <c r="I89" s="174">
        <f t="shared" ref="I89:I95" si="24">+F89*G89*H89</f>
        <v>45094.400000000001</v>
      </c>
      <c r="J89" s="135">
        <f t="shared" ref="J89:J96" si="25">+I89*1.45%</f>
        <v>653.86879999999996</v>
      </c>
      <c r="K89" s="135">
        <f t="shared" ref="K89:K96" si="26">+I89*0.35%</f>
        <v>157.8304</v>
      </c>
      <c r="L89" s="478">
        <f>+I89*L2</f>
        <v>3675.1936000000001</v>
      </c>
      <c r="M89" s="478"/>
      <c r="N89" s="121">
        <f>2.3*4</f>
        <v>9.1999999999999993</v>
      </c>
      <c r="O89" s="121">
        <f>393.73*24</f>
        <v>9449.52</v>
      </c>
      <c r="P89" s="121">
        <f>29.96*12</f>
        <v>359.52</v>
      </c>
      <c r="Q89" s="121">
        <f>8.08*0.8*12</f>
        <v>77.568000000000012</v>
      </c>
      <c r="R89" s="121">
        <f>3.65*26</f>
        <v>94.899999999999991</v>
      </c>
      <c r="S89" s="121">
        <f t="shared" ref="S89:S96" si="27">SUM(I89:R89)</f>
        <v>59572.000799999994</v>
      </c>
    </row>
    <row r="90" spans="1:21" x14ac:dyDescent="0.25">
      <c r="A90" s="141">
        <v>60</v>
      </c>
      <c r="B90" s="131" t="s">
        <v>708</v>
      </c>
      <c r="C90" s="120" t="s">
        <v>612</v>
      </c>
      <c r="D90" s="132" t="s">
        <v>709</v>
      </c>
      <c r="E90" s="120" t="s">
        <v>617</v>
      </c>
      <c r="F90" s="133">
        <v>16.82</v>
      </c>
      <c r="G90" s="134">
        <v>80</v>
      </c>
      <c r="H90" s="134">
        <v>26</v>
      </c>
      <c r="I90" s="174">
        <f t="shared" si="24"/>
        <v>34985.599999999999</v>
      </c>
      <c r="J90" s="135">
        <f t="shared" si="25"/>
        <v>507.29119999999995</v>
      </c>
      <c r="K90" s="135">
        <f t="shared" si="26"/>
        <v>122.44959999999998</v>
      </c>
      <c r="L90" s="478">
        <f>+I90*L$2</f>
        <v>2851.3263999999999</v>
      </c>
      <c r="M90" s="478"/>
      <c r="N90" s="135">
        <f>2.3*4</f>
        <v>9.1999999999999993</v>
      </c>
      <c r="O90" s="135">
        <v>0</v>
      </c>
      <c r="P90" s="135">
        <v>0</v>
      </c>
      <c r="Q90" s="135">
        <v>0</v>
      </c>
      <c r="R90" s="121">
        <f>3.65*26</f>
        <v>94.899999999999991</v>
      </c>
      <c r="S90" s="121">
        <f t="shared" si="27"/>
        <v>38570.767199999995</v>
      </c>
    </row>
    <row r="91" spans="1:21" x14ac:dyDescent="0.25">
      <c r="A91" s="141">
        <v>61</v>
      </c>
      <c r="B91" s="131" t="s">
        <v>710</v>
      </c>
      <c r="C91" s="120" t="s">
        <v>612</v>
      </c>
      <c r="D91" s="132" t="s">
        <v>711</v>
      </c>
      <c r="E91" s="120" t="s">
        <v>617</v>
      </c>
      <c r="F91" s="133">
        <v>16.12</v>
      </c>
      <c r="G91" s="134">
        <v>80</v>
      </c>
      <c r="H91" s="134">
        <v>26</v>
      </c>
      <c r="I91" s="174">
        <f t="shared" si="24"/>
        <v>33529.600000000006</v>
      </c>
      <c r="J91" s="135">
        <f t="shared" si="25"/>
        <v>486.17920000000004</v>
      </c>
      <c r="K91" s="135">
        <f t="shared" si="26"/>
        <v>117.35360000000001</v>
      </c>
      <c r="L91" s="478">
        <f>+I91*L$2</f>
        <v>2732.6624000000006</v>
      </c>
      <c r="M91" s="478"/>
      <c r="N91" s="135">
        <f>2.3*4</f>
        <v>9.1999999999999993</v>
      </c>
      <c r="O91" s="135">
        <v>0</v>
      </c>
      <c r="P91" s="135">
        <v>0</v>
      </c>
      <c r="Q91" s="135">
        <v>0</v>
      </c>
      <c r="R91" s="121">
        <f>3.65*26</f>
        <v>94.899999999999991</v>
      </c>
      <c r="S91" s="121">
        <f t="shared" si="27"/>
        <v>36969.895200000006</v>
      </c>
    </row>
    <row r="92" spans="1:21" x14ac:dyDescent="0.25">
      <c r="A92" s="141">
        <v>62</v>
      </c>
      <c r="B92" s="131" t="s">
        <v>712</v>
      </c>
      <c r="C92" s="120" t="s">
        <v>612</v>
      </c>
      <c r="D92" s="132" t="s">
        <v>711</v>
      </c>
      <c r="E92" s="120" t="s">
        <v>617</v>
      </c>
      <c r="F92" s="133">
        <v>14.5</v>
      </c>
      <c r="G92" s="134">
        <v>80</v>
      </c>
      <c r="H92" s="134">
        <v>26</v>
      </c>
      <c r="I92" s="174">
        <f t="shared" si="24"/>
        <v>30160</v>
      </c>
      <c r="J92" s="135">
        <f t="shared" si="25"/>
        <v>437.32</v>
      </c>
      <c r="K92" s="135">
        <f t="shared" si="26"/>
        <v>105.55999999999999</v>
      </c>
      <c r="L92" s="478">
        <v>0</v>
      </c>
      <c r="M92" s="478"/>
      <c r="N92" s="135">
        <f>2.3*4</f>
        <v>9.1999999999999993</v>
      </c>
      <c r="O92" s="135">
        <f>491.78*24</f>
        <v>11802.72</v>
      </c>
      <c r="P92" s="135">
        <f>29.96*12</f>
        <v>359.52</v>
      </c>
      <c r="Q92" s="135">
        <f>8.08*0.8*12</f>
        <v>77.568000000000012</v>
      </c>
      <c r="R92" s="121">
        <f>3.65*26</f>
        <v>94.899999999999991</v>
      </c>
      <c r="S92" s="121">
        <f t="shared" si="27"/>
        <v>43046.788</v>
      </c>
    </row>
    <row r="93" spans="1:21" x14ac:dyDescent="0.25">
      <c r="A93" s="141">
        <v>63</v>
      </c>
      <c r="B93" s="131" t="s">
        <v>713</v>
      </c>
      <c r="C93" s="120" t="s">
        <v>612</v>
      </c>
      <c r="D93" s="132" t="s">
        <v>711</v>
      </c>
      <c r="E93" s="120" t="s">
        <v>617</v>
      </c>
      <c r="F93" s="133">
        <v>14.5</v>
      </c>
      <c r="G93" s="134">
        <v>80</v>
      </c>
      <c r="H93" s="134">
        <v>26</v>
      </c>
      <c r="I93" s="174">
        <f t="shared" si="24"/>
        <v>30160</v>
      </c>
      <c r="J93" s="135">
        <f>+I93*1.45%</f>
        <v>437.32</v>
      </c>
      <c r="K93" s="135">
        <f t="shared" si="26"/>
        <v>105.55999999999999</v>
      </c>
      <c r="L93" s="478">
        <f>+I93*L$2</f>
        <v>2458.04</v>
      </c>
      <c r="M93" s="478"/>
      <c r="N93" s="135">
        <f>2.3*4</f>
        <v>9.1999999999999993</v>
      </c>
      <c r="O93" s="135">
        <f>193.78*24</f>
        <v>4650.72</v>
      </c>
      <c r="P93" s="135">
        <f>29.96*12</f>
        <v>359.52</v>
      </c>
      <c r="Q93" s="135">
        <f>8.08*0.8*12</f>
        <v>77.568000000000012</v>
      </c>
      <c r="R93" s="121">
        <f>3.65*26</f>
        <v>94.899999999999991</v>
      </c>
      <c r="S93" s="121">
        <f>SUM(I93:R93)</f>
        <v>38352.827999999994</v>
      </c>
    </row>
    <row r="94" spans="1:21" x14ac:dyDescent="0.25">
      <c r="A94" s="141">
        <v>64</v>
      </c>
      <c r="B94" s="131" t="s">
        <v>745</v>
      </c>
      <c r="C94" s="120" t="s">
        <v>612</v>
      </c>
      <c r="D94" s="132" t="s">
        <v>711</v>
      </c>
      <c r="E94" s="120" t="s">
        <v>617</v>
      </c>
      <c r="F94" s="133">
        <v>14.5</v>
      </c>
      <c r="G94" s="134">
        <v>80</v>
      </c>
      <c r="H94" s="134">
        <v>26</v>
      </c>
      <c r="I94" s="174">
        <f t="shared" si="24"/>
        <v>30160</v>
      </c>
      <c r="J94" s="135">
        <f t="shared" ref="J94:J95" si="28">+I94*1.45%</f>
        <v>437.32</v>
      </c>
      <c r="K94" s="135">
        <f>+I94*0.35%</f>
        <v>105.55999999999999</v>
      </c>
      <c r="L94" s="478">
        <f>+I94*L$2</f>
        <v>2458.04</v>
      </c>
      <c r="M94" s="478"/>
      <c r="N94" s="135">
        <v>9.1999999999999993</v>
      </c>
      <c r="O94" s="135">
        <v>0</v>
      </c>
      <c r="P94" s="135">
        <v>0</v>
      </c>
      <c r="Q94" s="135">
        <v>0</v>
      </c>
      <c r="R94" s="135">
        <f>7.3*26</f>
        <v>189.79999999999998</v>
      </c>
      <c r="S94" s="121">
        <f t="shared" ref="S94:S95" si="29">SUM(I94:R94)</f>
        <v>33359.919999999998</v>
      </c>
    </row>
    <row r="95" spans="1:21" x14ac:dyDescent="0.25">
      <c r="A95" s="141">
        <v>65</v>
      </c>
      <c r="B95" s="131" t="s">
        <v>748</v>
      </c>
      <c r="C95" s="120" t="s">
        <v>612</v>
      </c>
      <c r="D95" s="132" t="s">
        <v>711</v>
      </c>
      <c r="E95" s="120" t="s">
        <v>617</v>
      </c>
      <c r="F95" s="133">
        <v>14.5</v>
      </c>
      <c r="G95" s="134">
        <v>80</v>
      </c>
      <c r="H95" s="134">
        <v>26</v>
      </c>
      <c r="I95" s="174">
        <f t="shared" si="24"/>
        <v>30160</v>
      </c>
      <c r="J95" s="135">
        <f t="shared" si="28"/>
        <v>437.32</v>
      </c>
      <c r="K95" s="135">
        <f>+I95*0.35%</f>
        <v>105.55999999999999</v>
      </c>
      <c r="L95" s="478">
        <f>+I95*L$2</f>
        <v>2458.04</v>
      </c>
      <c r="M95" s="478"/>
      <c r="N95" s="135">
        <v>9.1999999999999993</v>
      </c>
      <c r="O95" s="135">
        <v>0</v>
      </c>
      <c r="P95" s="135">
        <v>0</v>
      </c>
      <c r="Q95" s="135">
        <v>0</v>
      </c>
      <c r="R95" s="135">
        <v>94.9</v>
      </c>
      <c r="S95" s="121">
        <f t="shared" si="29"/>
        <v>33265.019999999997</v>
      </c>
    </row>
    <row r="96" spans="1:21" x14ac:dyDescent="0.25">
      <c r="A96" s="141"/>
      <c r="B96" s="131" t="s">
        <v>698</v>
      </c>
      <c r="F96" s="133"/>
      <c r="I96" s="137">
        <v>4000</v>
      </c>
      <c r="J96" s="135">
        <f t="shared" si="25"/>
        <v>57.999999999999993</v>
      </c>
      <c r="K96" s="135">
        <f t="shared" si="26"/>
        <v>13.999999999999998</v>
      </c>
      <c r="L96" s="478">
        <v>0</v>
      </c>
      <c r="M96" s="478"/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21">
        <f t="shared" si="27"/>
        <v>4072</v>
      </c>
    </row>
    <row r="97" spans="4:19" x14ac:dyDescent="0.25">
      <c r="F97" s="133"/>
      <c r="I97" s="272">
        <f>+SUM(I89:I96)</f>
        <v>238249.60000000001</v>
      </c>
      <c r="J97" s="272">
        <f t="shared" ref="J97:S97" si="30">+SUM(J89:J96)</f>
        <v>3454.6192000000005</v>
      </c>
      <c r="K97" s="272">
        <f t="shared" si="30"/>
        <v>833.8735999999999</v>
      </c>
      <c r="L97" s="272"/>
      <c r="M97" s="272">
        <f>SUM(L89:M96)</f>
        <v>16633.302400000004</v>
      </c>
      <c r="N97" s="272">
        <f t="shared" si="30"/>
        <v>64.400000000000006</v>
      </c>
      <c r="O97" s="272">
        <f t="shared" si="30"/>
        <v>25902.959999999999</v>
      </c>
      <c r="P97" s="272">
        <f t="shared" si="30"/>
        <v>1078.56</v>
      </c>
      <c r="Q97" s="272">
        <f t="shared" si="30"/>
        <v>232.70400000000004</v>
      </c>
      <c r="R97" s="272">
        <f t="shared" si="30"/>
        <v>759.19999999999993</v>
      </c>
      <c r="S97" s="272">
        <f t="shared" si="30"/>
        <v>287209.21919999999</v>
      </c>
    </row>
    <row r="98" spans="4:19" x14ac:dyDescent="0.25">
      <c r="D98" s="132"/>
      <c r="I98" s="137"/>
      <c r="J98" s="135"/>
      <c r="K98" s="135"/>
      <c r="L98" s="298"/>
      <c r="M98" s="298"/>
      <c r="N98" s="135"/>
      <c r="O98" s="135"/>
      <c r="P98" s="135"/>
      <c r="Q98" s="135"/>
      <c r="R98" s="135"/>
      <c r="S98" s="135"/>
    </row>
    <row r="99" spans="4:19" ht="15.75" thickBot="1" x14ac:dyDescent="0.3">
      <c r="D99" s="132"/>
      <c r="F99" s="276"/>
      <c r="I99" s="277">
        <f>+I97+I87+I81+I59+I49+I42+I37+I22+I19+I16+I10+I7+I52</f>
        <v>2045934.16</v>
      </c>
      <c r="J99" s="277">
        <f>+J97+J87+J81+J59+J49+J42+J37+J22+J19+J16+J10+J7+J52</f>
        <v>32720.595319999997</v>
      </c>
      <c r="K99" s="277">
        <f>+K97+K87+K81+K59+K49+K42+K37+K22+K19+K16+K10+K7+K52</f>
        <v>6988.3595599999981</v>
      </c>
      <c r="L99" s="484">
        <f>+M97+M87+M81+M59+M49+M42+M22+M19+M16+M7+L52</f>
        <v>178372.04684000002</v>
      </c>
      <c r="M99" s="484"/>
      <c r="N99" s="277">
        <f t="shared" ref="N99:S99" si="31">+N97+N87+N81+N59+N49+N42+N37+N22+N19+N16+N10+N7+N52</f>
        <v>443.27</v>
      </c>
      <c r="O99" s="277">
        <f t="shared" si="31"/>
        <v>201181.08000000002</v>
      </c>
      <c r="P99" s="277">
        <f t="shared" si="31"/>
        <v>15326.520000000004</v>
      </c>
      <c r="Q99" s="277">
        <f t="shared" si="31"/>
        <v>2932.6320000000005</v>
      </c>
      <c r="R99" s="277">
        <f t="shared" si="31"/>
        <v>4625.92</v>
      </c>
      <c r="S99" s="277">
        <f t="shared" si="31"/>
        <v>2488524.5837199995</v>
      </c>
    </row>
    <row r="100" spans="4:19" ht="15.75" thickTop="1" x14ac:dyDescent="0.25"/>
    <row r="103" spans="4:19" x14ac:dyDescent="0.25">
      <c r="O103" s="135"/>
      <c r="S103" s="174"/>
    </row>
    <row r="104" spans="4:19" x14ac:dyDescent="0.25">
      <c r="O104" s="135"/>
      <c r="P104" s="135"/>
      <c r="Q104" s="135"/>
    </row>
    <row r="105" spans="4:19" x14ac:dyDescent="0.25">
      <c r="O105" s="135"/>
      <c r="Q105" s="135"/>
    </row>
    <row r="106" spans="4:19" x14ac:dyDescent="0.25">
      <c r="O106" s="135"/>
      <c r="P106" s="135"/>
      <c r="Q106" s="135"/>
    </row>
    <row r="107" spans="4:19" x14ac:dyDescent="0.25">
      <c r="O107" s="135"/>
      <c r="P107" s="135"/>
      <c r="Q107" s="135"/>
    </row>
    <row r="108" spans="4:19" x14ac:dyDescent="0.25">
      <c r="O108" s="135"/>
      <c r="P108" s="135"/>
      <c r="Q108" s="135"/>
    </row>
    <row r="109" spans="4:19" x14ac:dyDescent="0.25">
      <c r="P109" s="135"/>
      <c r="Q109" s="135"/>
    </row>
    <row r="110" spans="4:19" x14ac:dyDescent="0.25">
      <c r="O110" s="135"/>
      <c r="P110" s="135"/>
      <c r="Q110" s="135"/>
    </row>
    <row r="111" spans="4:19" x14ac:dyDescent="0.25">
      <c r="O111" s="135"/>
      <c r="P111" s="135"/>
      <c r="Q111" s="135"/>
    </row>
    <row r="112" spans="4:19" x14ac:dyDescent="0.25">
      <c r="P112" s="135"/>
      <c r="Q112" s="135"/>
    </row>
    <row r="113" spans="1:20" x14ac:dyDescent="0.25">
      <c r="O113" s="135"/>
    </row>
    <row r="114" spans="1:20" x14ac:dyDescent="0.25">
      <c r="P114" s="135"/>
    </row>
    <row r="115" spans="1:20" x14ac:dyDescent="0.25">
      <c r="P115" s="135"/>
      <c r="Q115" s="135"/>
    </row>
    <row r="116" spans="1:20" x14ac:dyDescent="0.25">
      <c r="O116" s="135"/>
    </row>
    <row r="117" spans="1:20" x14ac:dyDescent="0.25">
      <c r="O117" s="135"/>
      <c r="P117" s="135"/>
    </row>
    <row r="118" spans="1:20" s="121" customFormat="1" x14ac:dyDescent="0.25">
      <c r="A118" s="130"/>
      <c r="B118" s="120"/>
      <c r="C118" s="120"/>
      <c r="D118" s="120"/>
      <c r="E118" s="120"/>
      <c r="F118" s="139"/>
      <c r="G118" s="134"/>
      <c r="H118" s="134"/>
      <c r="I118" s="174"/>
      <c r="O118" s="135"/>
      <c r="Q118" s="135"/>
      <c r="T118" s="120"/>
    </row>
    <row r="119" spans="1:20" s="121" customFormat="1" x14ac:dyDescent="0.25">
      <c r="A119" s="130"/>
      <c r="B119" s="120"/>
      <c r="C119" s="120"/>
      <c r="D119" s="120"/>
      <c r="E119" s="120"/>
      <c r="F119" s="139"/>
      <c r="G119" s="134"/>
      <c r="H119" s="134"/>
      <c r="I119" s="174"/>
      <c r="P119" s="135"/>
      <c r="Q119" s="135"/>
      <c r="T119" s="120"/>
    </row>
    <row r="120" spans="1:20" s="121" customFormat="1" x14ac:dyDescent="0.25">
      <c r="A120" s="130"/>
      <c r="B120" s="120"/>
      <c r="C120" s="120"/>
      <c r="D120" s="120"/>
      <c r="E120" s="120"/>
      <c r="F120" s="139"/>
      <c r="G120" s="134"/>
      <c r="H120" s="134"/>
      <c r="I120" s="174"/>
      <c r="O120" s="135"/>
      <c r="Q120" s="135"/>
      <c r="T120" s="120"/>
    </row>
    <row r="121" spans="1:20" s="121" customFormat="1" x14ac:dyDescent="0.25">
      <c r="A121" s="130"/>
      <c r="B121" s="120"/>
      <c r="C121" s="120"/>
      <c r="D121" s="120"/>
      <c r="E121" s="120"/>
      <c r="F121" s="139"/>
      <c r="G121" s="134"/>
      <c r="H121" s="134"/>
      <c r="I121" s="174"/>
      <c r="O121" s="135"/>
      <c r="P121" s="135"/>
      <c r="Q121" s="135"/>
      <c r="T121" s="120"/>
    </row>
    <row r="122" spans="1:20" s="121" customFormat="1" x14ac:dyDescent="0.25">
      <c r="A122" s="130"/>
      <c r="B122" s="120"/>
      <c r="C122" s="120"/>
      <c r="D122" s="120"/>
      <c r="E122" s="120"/>
      <c r="F122" s="139"/>
      <c r="G122" s="134"/>
      <c r="H122" s="134"/>
      <c r="I122" s="174"/>
      <c r="O122" s="135"/>
      <c r="P122" s="135"/>
      <c r="T122" s="120"/>
    </row>
  </sheetData>
  <autoFilter ref="B1:S99" xr:uid="{00000000-0009-0000-0000-000001000000}"/>
  <mergeCells count="74">
    <mergeCell ref="L95:M95"/>
    <mergeCell ref="L96:M96"/>
    <mergeCell ref="L99:M99"/>
    <mergeCell ref="L89:M89"/>
    <mergeCell ref="L90:M90"/>
    <mergeCell ref="L91:M91"/>
    <mergeCell ref="L92:M92"/>
    <mergeCell ref="L93:M93"/>
    <mergeCell ref="L94:M94"/>
    <mergeCell ref="L86:M86"/>
    <mergeCell ref="L72:M72"/>
    <mergeCell ref="L73:M73"/>
    <mergeCell ref="L74:M74"/>
    <mergeCell ref="L75:M75"/>
    <mergeCell ref="L76:M76"/>
    <mergeCell ref="L77:M77"/>
    <mergeCell ref="L78:M78"/>
    <mergeCell ref="L80:M80"/>
    <mergeCell ref="L83:M83"/>
    <mergeCell ref="L84:M84"/>
    <mergeCell ref="L85:M85"/>
    <mergeCell ref="L79:M79"/>
    <mergeCell ref="L71:M71"/>
    <mergeCell ref="L55:M55"/>
    <mergeCell ref="L56:M56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58:M58"/>
    <mergeCell ref="L70:M70"/>
    <mergeCell ref="L57:M57"/>
    <mergeCell ref="L54:M54"/>
    <mergeCell ref="L36:M36"/>
    <mergeCell ref="L37:M37"/>
    <mergeCell ref="L39:M39"/>
    <mergeCell ref="L40:M40"/>
    <mergeCell ref="L41:M41"/>
    <mergeCell ref="L44:M44"/>
    <mergeCell ref="L45:M45"/>
    <mergeCell ref="L46:M46"/>
    <mergeCell ref="L47:M47"/>
    <mergeCell ref="L48:M48"/>
    <mergeCell ref="L51:M51"/>
    <mergeCell ref="L52:M52"/>
    <mergeCell ref="L35:M35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21:M21"/>
    <mergeCell ref="L1:M1"/>
    <mergeCell ref="L4:M4"/>
    <mergeCell ref="L5:M5"/>
    <mergeCell ref="L6:M6"/>
    <mergeCell ref="L9:M9"/>
    <mergeCell ref="L10:M10"/>
    <mergeCell ref="L12:M12"/>
    <mergeCell ref="L13:M13"/>
    <mergeCell ref="L14:M14"/>
    <mergeCell ref="L15:M15"/>
    <mergeCell ref="L18:M18"/>
  </mergeCells>
  <pageMargins left="0.25" right="0.25" top="0.75" bottom="0.75" header="0.3" footer="0.3"/>
  <pageSetup paperSize="5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8E7E-D3B9-4B64-AA4C-D918AF0EA29A}">
  <dimension ref="B2:D49"/>
  <sheetViews>
    <sheetView workbookViewId="0">
      <selection activeCell="G19" sqref="G19"/>
    </sheetView>
  </sheetViews>
  <sheetFormatPr defaultRowHeight="12.75" x14ac:dyDescent="0.2"/>
  <cols>
    <col min="4" max="4" width="15.7109375" style="344" customWidth="1"/>
  </cols>
  <sheetData>
    <row r="2" spans="3:4" ht="13.5" thickBot="1" x14ac:dyDescent="0.25"/>
    <row r="3" spans="3:4" ht="13.5" thickBot="1" x14ac:dyDescent="0.25">
      <c r="C3" s="347">
        <v>231</v>
      </c>
      <c r="D3" s="344">
        <v>77056.899999999994</v>
      </c>
    </row>
    <row r="5" spans="3:4" x14ac:dyDescent="0.2">
      <c r="D5" s="345">
        <v>-77056.899999999994</v>
      </c>
    </row>
    <row r="7" spans="3:4" ht="13.5" thickBot="1" x14ac:dyDescent="0.25"/>
    <row r="8" spans="3:4" ht="13.5" thickBot="1" x14ac:dyDescent="0.25">
      <c r="C8" s="347">
        <v>235</v>
      </c>
      <c r="D8" s="344">
        <v>63584.77</v>
      </c>
    </row>
    <row r="10" spans="3:4" x14ac:dyDescent="0.2">
      <c r="D10" s="345">
        <v>-63584.77</v>
      </c>
    </row>
    <row r="12" spans="3:4" ht="13.5" thickBot="1" x14ac:dyDescent="0.25"/>
    <row r="13" spans="3:4" ht="13.5" thickBot="1" x14ac:dyDescent="0.25">
      <c r="C13" s="347">
        <v>290</v>
      </c>
      <c r="D13" s="344">
        <v>283466.53000000003</v>
      </c>
    </row>
    <row r="14" spans="3:4" x14ac:dyDescent="0.2">
      <c r="D14" s="344">
        <v>276569.21000000002</v>
      </c>
    </row>
    <row r="16" spans="3:4" x14ac:dyDescent="0.2">
      <c r="D16" s="349">
        <v>-106128.53</v>
      </c>
    </row>
    <row r="17" spans="3:4" x14ac:dyDescent="0.2">
      <c r="D17" s="346">
        <v>-1326.61</v>
      </c>
    </row>
    <row r="18" spans="3:4" x14ac:dyDescent="0.2">
      <c r="D18" s="346">
        <v>-35818.379999999997</v>
      </c>
    </row>
    <row r="19" spans="3:4" x14ac:dyDescent="0.2">
      <c r="D19" s="346">
        <v>-377271.9</v>
      </c>
    </row>
    <row r="20" spans="3:4" x14ac:dyDescent="0.2">
      <c r="D20" s="345">
        <v>-25813.07</v>
      </c>
    </row>
    <row r="21" spans="3:4" x14ac:dyDescent="0.2">
      <c r="D21" s="345">
        <v>-13677.25</v>
      </c>
    </row>
    <row r="23" spans="3:4" ht="13.5" thickBot="1" x14ac:dyDescent="0.25"/>
    <row r="24" spans="3:4" ht="13.5" thickBot="1" x14ac:dyDescent="0.25">
      <c r="C24" s="347">
        <v>291</v>
      </c>
      <c r="D24" s="344">
        <v>5626</v>
      </c>
    </row>
    <row r="25" spans="3:4" x14ac:dyDescent="0.2">
      <c r="D25" s="344">
        <v>19981.79</v>
      </c>
    </row>
    <row r="26" spans="3:4" x14ac:dyDescent="0.2">
      <c r="D26" s="348"/>
    </row>
    <row r="27" spans="3:4" x14ac:dyDescent="0.2">
      <c r="D27" s="349">
        <v>-2812.5</v>
      </c>
    </row>
    <row r="28" spans="3:4" x14ac:dyDescent="0.2">
      <c r="D28" s="349">
        <v>-5626</v>
      </c>
    </row>
    <row r="29" spans="3:4" x14ac:dyDescent="0.2">
      <c r="D29" s="345">
        <v>-17169.29</v>
      </c>
    </row>
    <row r="31" spans="3:4" ht="13.5" thickBot="1" x14ac:dyDescent="0.25"/>
    <row r="32" spans="3:4" ht="13.5" thickBot="1" x14ac:dyDescent="0.25">
      <c r="C32" s="347">
        <v>298</v>
      </c>
      <c r="D32" s="344">
        <v>154397.19</v>
      </c>
    </row>
    <row r="34" spans="2:4" x14ac:dyDescent="0.2">
      <c r="D34" s="345">
        <v>-154397.19</v>
      </c>
    </row>
    <row r="36" spans="2:4" ht="13.5" thickBot="1" x14ac:dyDescent="0.25"/>
    <row r="37" spans="2:4" ht="13.5" thickBot="1" x14ac:dyDescent="0.25">
      <c r="C37" s="347">
        <v>303</v>
      </c>
      <c r="D37" s="344">
        <v>70000</v>
      </c>
    </row>
    <row r="39" spans="2:4" x14ac:dyDescent="0.2">
      <c r="D39" s="345">
        <v>-70000</v>
      </c>
    </row>
    <row r="41" spans="2:4" ht="13.5" thickBot="1" x14ac:dyDescent="0.25"/>
    <row r="42" spans="2:4" ht="13.5" thickBot="1" x14ac:dyDescent="0.25">
      <c r="C42" s="347">
        <v>523</v>
      </c>
      <c r="D42" s="344">
        <v>5831.28</v>
      </c>
    </row>
    <row r="44" spans="2:4" x14ac:dyDescent="0.2">
      <c r="D44" s="345">
        <f>-100000+94168.72</f>
        <v>-5831.2799999999988</v>
      </c>
    </row>
    <row r="47" spans="2:4" x14ac:dyDescent="0.2">
      <c r="B47" s="350"/>
      <c r="C47" s="350"/>
      <c r="D47" s="351"/>
    </row>
    <row r="48" spans="2:4" x14ac:dyDescent="0.2">
      <c r="B48" s="350"/>
      <c r="C48" s="350"/>
      <c r="D48" s="351"/>
    </row>
    <row r="49" spans="2:4" x14ac:dyDescent="0.2">
      <c r="B49" s="350"/>
      <c r="C49" s="350"/>
      <c r="D49" s="3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7BB2-59DD-496F-A2D1-51D41D396692}">
  <dimension ref="A2:AT210"/>
  <sheetViews>
    <sheetView topLeftCell="A64" workbookViewId="0">
      <pane xSplit="4" topLeftCell="S1" activePane="topRight" state="frozen"/>
      <selection pane="topRight" activeCell="Y19" sqref="Y19"/>
    </sheetView>
  </sheetViews>
  <sheetFormatPr defaultColWidth="8.85546875" defaultRowHeight="15" x14ac:dyDescent="0.25"/>
  <cols>
    <col min="1" max="1" width="8.85546875" style="368"/>
    <col min="2" max="2" width="8.85546875" style="369"/>
    <col min="3" max="3" width="60.28515625" style="369" customWidth="1"/>
    <col min="4" max="4" width="15.140625" style="373" customWidth="1"/>
    <col min="5" max="18" width="15.140625" style="373" hidden="1" customWidth="1"/>
    <col min="19" max="19" width="0.7109375" style="375" customWidth="1"/>
    <col min="20" max="33" width="15.140625" style="373" customWidth="1"/>
    <col min="34" max="34" width="15.140625" style="378" hidden="1" customWidth="1"/>
    <col min="35" max="35" width="15.140625" style="373" customWidth="1"/>
    <col min="36" max="40" width="15.140625" style="369" customWidth="1"/>
    <col min="41" max="16384" width="8.85546875" style="369"/>
  </cols>
  <sheetData>
    <row r="2" spans="1:37" s="353" customFormat="1" ht="14.45" customHeight="1" x14ac:dyDescent="0.2">
      <c r="A2" s="352"/>
      <c r="C2" s="354"/>
      <c r="D2" s="355" t="s">
        <v>764</v>
      </c>
      <c r="E2" s="356" t="s">
        <v>765</v>
      </c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7"/>
      <c r="S2" s="358"/>
      <c r="T2" s="356" t="s">
        <v>765</v>
      </c>
      <c r="U2" s="356" t="s">
        <v>766</v>
      </c>
      <c r="V2" s="359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7"/>
      <c r="AH2" s="360"/>
      <c r="AI2" s="357"/>
      <c r="AJ2" s="357"/>
      <c r="AK2" s="357"/>
    </row>
    <row r="3" spans="1:37" s="366" customFormat="1" ht="25.15" customHeight="1" x14ac:dyDescent="0.2">
      <c r="A3" s="361"/>
      <c r="B3" s="486" t="s">
        <v>767</v>
      </c>
      <c r="C3" s="486"/>
      <c r="D3" s="362">
        <v>70200</v>
      </c>
      <c r="E3" s="363">
        <v>700</v>
      </c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5"/>
      <c r="T3" s="363">
        <v>700</v>
      </c>
      <c r="U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3"/>
      <c r="AI3" s="367"/>
      <c r="AJ3" s="367"/>
      <c r="AK3" s="367"/>
    </row>
    <row r="4" spans="1:37" x14ac:dyDescent="0.25">
      <c r="C4" s="370" t="s">
        <v>768</v>
      </c>
      <c r="D4" s="371">
        <v>28358</v>
      </c>
      <c r="E4" s="372">
        <v>28358</v>
      </c>
      <c r="R4" s="374">
        <f t="shared" ref="R4" si="0">+SUM(E4:Q4)</f>
        <v>28358</v>
      </c>
      <c r="T4" s="372">
        <v>28358</v>
      </c>
      <c r="AG4" s="374">
        <f>+SUM(T4:AE4)</f>
        <v>28358</v>
      </c>
      <c r="AH4" s="376">
        <f>+D4+AG4</f>
        <v>56716</v>
      </c>
      <c r="AJ4" s="373"/>
      <c r="AK4" s="373"/>
    </row>
    <row r="5" spans="1:37" x14ac:dyDescent="0.25">
      <c r="C5" s="370" t="s">
        <v>769</v>
      </c>
      <c r="D5" s="371">
        <v>34642</v>
      </c>
      <c r="E5" s="372">
        <v>34642</v>
      </c>
      <c r="R5" s="374">
        <f>+SUM(E5:Q5)</f>
        <v>34642</v>
      </c>
      <c r="T5" s="372">
        <v>0</v>
      </c>
      <c r="AG5" s="374">
        <f>+SUM(T5:AE5)</f>
        <v>0</v>
      </c>
      <c r="AH5" s="376">
        <f>+D5+AG5</f>
        <v>34642</v>
      </c>
      <c r="AJ5" s="373"/>
      <c r="AK5" s="373"/>
    </row>
    <row r="6" spans="1:37" x14ac:dyDescent="0.25">
      <c r="C6" s="370" t="s">
        <v>770</v>
      </c>
      <c r="D6" s="377">
        <v>-63000</v>
      </c>
      <c r="E6" s="373">
        <v>63000</v>
      </c>
      <c r="R6" s="374">
        <f>+SUM(E6:Q6)*-1</f>
        <v>-63000</v>
      </c>
      <c r="T6" s="373">
        <v>0</v>
      </c>
      <c r="U6" s="373">
        <v>28358</v>
      </c>
      <c r="AG6" s="374">
        <f>+SUM(T6:AE6)</f>
        <v>28358</v>
      </c>
      <c r="AH6" s="376">
        <f>+D6+AG6</f>
        <v>-34642</v>
      </c>
      <c r="AJ6" s="373"/>
      <c r="AK6" s="373"/>
    </row>
    <row r="7" spans="1:37" ht="2.65" customHeight="1" x14ac:dyDescent="0.25"/>
    <row r="8" spans="1:37" s="353" customFormat="1" ht="14.45" customHeight="1" x14ac:dyDescent="0.2">
      <c r="A8" s="352"/>
      <c r="C8" s="354"/>
      <c r="D8" s="355" t="s">
        <v>764</v>
      </c>
      <c r="E8" s="356" t="s">
        <v>771</v>
      </c>
      <c r="F8" s="356" t="s">
        <v>772</v>
      </c>
      <c r="G8" s="356" t="s">
        <v>773</v>
      </c>
      <c r="H8" s="356" t="s">
        <v>774</v>
      </c>
      <c r="I8" s="356" t="s">
        <v>438</v>
      </c>
      <c r="J8" s="356"/>
      <c r="K8" s="356"/>
      <c r="L8" s="356"/>
      <c r="M8" s="356"/>
      <c r="N8" s="356"/>
      <c r="O8" s="356"/>
      <c r="P8" s="356"/>
      <c r="Q8" s="356"/>
      <c r="R8" s="357"/>
      <c r="S8" s="358"/>
      <c r="T8" s="356" t="s">
        <v>771</v>
      </c>
      <c r="U8" s="356" t="s">
        <v>772</v>
      </c>
      <c r="V8" s="356" t="s">
        <v>773</v>
      </c>
      <c r="W8" s="356" t="s">
        <v>774</v>
      </c>
      <c r="X8" s="356" t="s">
        <v>438</v>
      </c>
      <c r="Y8" s="356"/>
      <c r="Z8" s="356"/>
      <c r="AA8" s="356"/>
      <c r="AB8" s="356"/>
      <c r="AC8" s="356"/>
      <c r="AD8" s="356"/>
      <c r="AE8" s="356"/>
      <c r="AF8" s="356"/>
      <c r="AG8" s="357"/>
      <c r="AH8" s="360"/>
      <c r="AI8" s="357"/>
      <c r="AJ8" s="357"/>
      <c r="AK8" s="357"/>
    </row>
    <row r="9" spans="1:37" s="366" customFormat="1" ht="25.15" customHeight="1" x14ac:dyDescent="0.2">
      <c r="A9" s="361"/>
      <c r="B9" s="486" t="s">
        <v>775</v>
      </c>
      <c r="C9" s="486"/>
      <c r="D9" s="362">
        <v>59900</v>
      </c>
      <c r="E9" s="363">
        <v>267</v>
      </c>
      <c r="F9" s="363">
        <v>205</v>
      </c>
      <c r="G9" s="379">
        <v>227</v>
      </c>
      <c r="H9" s="379">
        <v>229</v>
      </c>
      <c r="I9" s="379">
        <v>262</v>
      </c>
      <c r="J9" s="364"/>
      <c r="K9" s="364"/>
      <c r="L9" s="364"/>
      <c r="M9" s="364"/>
      <c r="N9" s="364"/>
      <c r="O9" s="364"/>
      <c r="P9" s="364"/>
      <c r="Q9" s="364"/>
      <c r="R9" s="364"/>
      <c r="S9" s="365"/>
      <c r="T9" s="363">
        <v>267</v>
      </c>
      <c r="U9" s="363">
        <v>205</v>
      </c>
      <c r="V9" s="379">
        <v>227</v>
      </c>
      <c r="W9" s="379">
        <v>229</v>
      </c>
      <c r="X9" s="379">
        <v>262</v>
      </c>
      <c r="Y9" s="364"/>
      <c r="Z9" s="364"/>
      <c r="AA9" s="364"/>
      <c r="AB9" s="364"/>
      <c r="AC9" s="364"/>
      <c r="AD9" s="364"/>
      <c r="AE9" s="364"/>
      <c r="AF9" s="364"/>
      <c r="AG9" s="364"/>
      <c r="AH9" s="363"/>
      <c r="AI9" s="367"/>
      <c r="AJ9" s="367"/>
      <c r="AK9" s="367"/>
    </row>
    <row r="10" spans="1:37" x14ac:dyDescent="0.25">
      <c r="C10" s="370" t="s">
        <v>768</v>
      </c>
      <c r="D10" s="371">
        <v>326</v>
      </c>
      <c r="E10" s="372">
        <v>326</v>
      </c>
      <c r="R10" s="374">
        <f t="shared" ref="R10:R12" si="1">+SUM(E10:Q10)</f>
        <v>326</v>
      </c>
      <c r="T10" s="372"/>
      <c r="AG10" s="374">
        <f t="shared" ref="AG10:AG24" si="2">+SUM(T10:AE10)</f>
        <v>0</v>
      </c>
      <c r="AH10" s="376">
        <f t="shared" ref="AH10:AH24" si="3">+D10-AG10</f>
        <v>326</v>
      </c>
      <c r="AJ10" s="373"/>
      <c r="AK10" s="373"/>
    </row>
    <row r="11" spans="1:37" x14ac:dyDescent="0.25">
      <c r="C11" s="370" t="s">
        <v>776</v>
      </c>
      <c r="D11" s="371">
        <v>2500</v>
      </c>
      <c r="E11" s="372">
        <v>2500</v>
      </c>
      <c r="G11" s="373">
        <v>100000</v>
      </c>
      <c r="R11" s="374">
        <f t="shared" si="1"/>
        <v>102500</v>
      </c>
      <c r="T11" s="372">
        <v>0</v>
      </c>
      <c r="V11" s="373">
        <v>0</v>
      </c>
      <c r="AG11" s="374">
        <f t="shared" si="2"/>
        <v>0</v>
      </c>
      <c r="AH11" s="376">
        <f t="shared" si="3"/>
        <v>2500</v>
      </c>
      <c r="AJ11" s="373"/>
      <c r="AK11" s="373"/>
    </row>
    <row r="12" spans="1:37" x14ac:dyDescent="0.25">
      <c r="C12" s="370" t="s">
        <v>321</v>
      </c>
      <c r="D12" s="371">
        <v>10000</v>
      </c>
      <c r="E12" s="372"/>
      <c r="F12" s="373">
        <v>10000</v>
      </c>
      <c r="H12" s="373">
        <v>150000</v>
      </c>
      <c r="I12" s="373">
        <v>160000</v>
      </c>
      <c r="R12" s="374">
        <f t="shared" si="1"/>
        <v>320000</v>
      </c>
      <c r="T12" s="372"/>
      <c r="U12" s="373">
        <v>10000</v>
      </c>
      <c r="W12" s="373">
        <v>150000</v>
      </c>
      <c r="X12" s="373">
        <v>78064.3</v>
      </c>
      <c r="AG12" s="374">
        <f t="shared" si="2"/>
        <v>238064.3</v>
      </c>
      <c r="AH12" s="376">
        <f t="shared" si="3"/>
        <v>-228064.3</v>
      </c>
      <c r="AJ12" s="373"/>
      <c r="AK12" s="373"/>
    </row>
    <row r="13" spans="1:37" x14ac:dyDescent="0.25">
      <c r="C13" s="370" t="s">
        <v>777</v>
      </c>
      <c r="D13" s="380">
        <v>-2309</v>
      </c>
      <c r="E13" s="372">
        <v>2309</v>
      </c>
      <c r="G13" s="373">
        <v>35176</v>
      </c>
      <c r="I13" s="373">
        <v>5900</v>
      </c>
      <c r="R13" s="374">
        <f>+SUM(E13:Q13)*-1</f>
        <v>-43385</v>
      </c>
      <c r="T13" s="372">
        <v>0</v>
      </c>
      <c r="V13" s="373">
        <v>14807.62</v>
      </c>
      <c r="X13" s="373">
        <v>5193.1000000000004</v>
      </c>
      <c r="AG13" s="374">
        <f t="shared" si="2"/>
        <v>20000.72</v>
      </c>
      <c r="AH13" s="376">
        <f t="shared" si="3"/>
        <v>-22309.72</v>
      </c>
      <c r="AJ13" s="373"/>
      <c r="AK13" s="373"/>
    </row>
    <row r="14" spans="1:37" x14ac:dyDescent="0.25">
      <c r="C14" s="370" t="s">
        <v>778</v>
      </c>
      <c r="D14" s="380">
        <v>-191</v>
      </c>
      <c r="E14" s="372">
        <v>191</v>
      </c>
      <c r="G14" s="373">
        <v>535</v>
      </c>
      <c r="I14" s="373">
        <v>86</v>
      </c>
      <c r="R14" s="374">
        <f t="shared" ref="R14:R24" si="4">+SUM(E14:Q14)*-1</f>
        <v>-812</v>
      </c>
      <c r="T14" s="372">
        <v>0</v>
      </c>
      <c r="V14" s="373">
        <v>204.86</v>
      </c>
      <c r="X14" s="373">
        <v>71.08</v>
      </c>
      <c r="AG14" s="374">
        <f t="shared" si="2"/>
        <v>275.94</v>
      </c>
      <c r="AH14" s="376">
        <f t="shared" si="3"/>
        <v>-466.94</v>
      </c>
      <c r="AJ14" s="373"/>
      <c r="AK14" s="373"/>
    </row>
    <row r="15" spans="1:37" x14ac:dyDescent="0.25">
      <c r="C15" s="370" t="s">
        <v>779</v>
      </c>
      <c r="D15" s="380"/>
      <c r="E15" s="372"/>
      <c r="G15" s="373">
        <v>130</v>
      </c>
      <c r="R15" s="374">
        <f t="shared" si="4"/>
        <v>-130</v>
      </c>
      <c r="T15" s="372"/>
      <c r="V15" s="373">
        <v>12.8</v>
      </c>
      <c r="AG15" s="374">
        <f t="shared" si="2"/>
        <v>12.8</v>
      </c>
      <c r="AH15" s="376">
        <f t="shared" si="3"/>
        <v>-12.8</v>
      </c>
      <c r="AJ15" s="373"/>
      <c r="AK15" s="373"/>
    </row>
    <row r="16" spans="1:37" x14ac:dyDescent="0.25">
      <c r="C16" s="370" t="s">
        <v>780</v>
      </c>
      <c r="D16" s="380"/>
      <c r="E16" s="372"/>
      <c r="G16" s="373">
        <v>4114</v>
      </c>
      <c r="R16" s="374">
        <f t="shared" si="4"/>
        <v>-4114</v>
      </c>
      <c r="T16" s="372"/>
      <c r="V16" s="373">
        <v>1675.75</v>
      </c>
      <c r="AG16" s="374">
        <f t="shared" si="2"/>
        <v>1675.75</v>
      </c>
      <c r="AH16" s="376">
        <f t="shared" si="3"/>
        <v>-1675.75</v>
      </c>
      <c r="AJ16" s="373"/>
      <c r="AK16" s="373"/>
    </row>
    <row r="17" spans="1:46" x14ac:dyDescent="0.25">
      <c r="C17" s="370" t="s">
        <v>604</v>
      </c>
      <c r="D17" s="380"/>
      <c r="E17" s="372"/>
      <c r="G17" s="373">
        <v>7</v>
      </c>
      <c r="R17" s="374">
        <f t="shared" si="4"/>
        <v>-7</v>
      </c>
      <c r="T17" s="372"/>
      <c r="V17" s="373">
        <v>2.2999999999999998</v>
      </c>
      <c r="AG17" s="374">
        <f t="shared" si="2"/>
        <v>2.2999999999999998</v>
      </c>
      <c r="AH17" s="376">
        <f t="shared" si="3"/>
        <v>-2.2999999999999998</v>
      </c>
      <c r="AJ17" s="373"/>
      <c r="AK17" s="373"/>
    </row>
    <row r="18" spans="1:46" x14ac:dyDescent="0.25">
      <c r="C18" s="370" t="s">
        <v>605</v>
      </c>
      <c r="D18" s="380"/>
      <c r="E18" s="372"/>
      <c r="G18" s="373">
        <v>4105</v>
      </c>
      <c r="R18" s="374">
        <f t="shared" si="4"/>
        <v>-4105</v>
      </c>
      <c r="T18" s="372"/>
      <c r="V18" s="373">
        <v>1647.77</v>
      </c>
      <c r="AG18" s="374">
        <f t="shared" si="2"/>
        <v>1647.77</v>
      </c>
      <c r="AH18" s="376">
        <f t="shared" si="3"/>
        <v>-1647.77</v>
      </c>
      <c r="AJ18" s="373"/>
      <c r="AK18" s="373"/>
    </row>
    <row r="19" spans="1:46" x14ac:dyDescent="0.25">
      <c r="C19" s="370" t="s">
        <v>606</v>
      </c>
      <c r="D19" s="380"/>
      <c r="E19" s="372"/>
      <c r="G19" s="373">
        <v>312</v>
      </c>
      <c r="R19" s="374">
        <f t="shared" si="4"/>
        <v>-312</v>
      </c>
      <c r="T19" s="372"/>
      <c r="V19" s="373">
        <v>124.89</v>
      </c>
      <c r="AG19" s="374">
        <f t="shared" si="2"/>
        <v>124.89</v>
      </c>
      <c r="AH19" s="376">
        <f t="shared" si="3"/>
        <v>-124.89</v>
      </c>
      <c r="AJ19" s="373"/>
      <c r="AK19" s="373"/>
    </row>
    <row r="20" spans="1:46" x14ac:dyDescent="0.25">
      <c r="C20" s="370" t="s">
        <v>607</v>
      </c>
      <c r="D20" s="380"/>
      <c r="E20" s="372"/>
      <c r="G20" s="373">
        <v>68</v>
      </c>
      <c r="R20" s="374">
        <f t="shared" si="4"/>
        <v>-68</v>
      </c>
      <c r="T20" s="372"/>
      <c r="V20" s="373">
        <v>26.93</v>
      </c>
      <c r="AG20" s="374">
        <f t="shared" si="2"/>
        <v>26.93</v>
      </c>
      <c r="AH20" s="376">
        <f t="shared" si="3"/>
        <v>-26.93</v>
      </c>
      <c r="AJ20" s="373"/>
      <c r="AK20" s="373"/>
    </row>
    <row r="21" spans="1:46" x14ac:dyDescent="0.25">
      <c r="C21" s="370" t="s">
        <v>608</v>
      </c>
      <c r="D21" s="380"/>
      <c r="E21" s="372"/>
      <c r="G21" s="373">
        <v>83</v>
      </c>
      <c r="R21" s="374">
        <f t="shared" si="4"/>
        <v>-83</v>
      </c>
      <c r="T21" s="372"/>
      <c r="V21" s="373">
        <v>30.44</v>
      </c>
      <c r="AG21" s="374">
        <f t="shared" si="2"/>
        <v>30.44</v>
      </c>
      <c r="AH21" s="376">
        <f t="shared" si="3"/>
        <v>-30.44</v>
      </c>
      <c r="AJ21" s="373"/>
      <c r="AK21" s="373"/>
    </row>
    <row r="22" spans="1:46" x14ac:dyDescent="0.25">
      <c r="C22" s="370" t="s">
        <v>781</v>
      </c>
      <c r="D22" s="380"/>
      <c r="E22" s="372"/>
      <c r="G22" s="373">
        <v>55470</v>
      </c>
      <c r="R22" s="374">
        <f t="shared" si="4"/>
        <v>-55470</v>
      </c>
      <c r="T22" s="372"/>
      <c r="V22" s="373">
        <v>1208.6600000000001</v>
      </c>
      <c r="AG22" s="374">
        <f t="shared" si="2"/>
        <v>1208.6600000000001</v>
      </c>
      <c r="AH22" s="376">
        <f t="shared" si="3"/>
        <v>-1208.6600000000001</v>
      </c>
      <c r="AJ22" s="373"/>
      <c r="AK22" s="373"/>
    </row>
    <row r="23" spans="1:46" x14ac:dyDescent="0.25">
      <c r="C23" s="370" t="s">
        <v>782</v>
      </c>
      <c r="D23" s="380"/>
      <c r="E23" s="372"/>
      <c r="H23" s="373">
        <v>21000</v>
      </c>
      <c r="R23" s="374">
        <f t="shared" si="4"/>
        <v>-21000</v>
      </c>
      <c r="T23" s="372"/>
      <c r="W23" s="373">
        <v>20258.41</v>
      </c>
      <c r="AG23" s="374">
        <f t="shared" si="2"/>
        <v>20258.41</v>
      </c>
      <c r="AH23" s="376">
        <f t="shared" si="3"/>
        <v>-20258.41</v>
      </c>
      <c r="AJ23" s="373"/>
      <c r="AK23" s="373"/>
    </row>
    <row r="24" spans="1:46" x14ac:dyDescent="0.25">
      <c r="C24" s="370" t="s">
        <v>783</v>
      </c>
      <c r="D24" s="380">
        <v>10000</v>
      </c>
      <c r="E24" s="372"/>
      <c r="F24" s="373">
        <v>10000</v>
      </c>
      <c r="H24" s="373">
        <v>129000</v>
      </c>
      <c r="I24" s="373">
        <v>154014</v>
      </c>
      <c r="R24" s="374">
        <f t="shared" si="4"/>
        <v>-293014</v>
      </c>
      <c r="T24" s="372"/>
      <c r="U24" s="373">
        <v>0</v>
      </c>
      <c r="W24" s="373">
        <v>125060.04</v>
      </c>
      <c r="X24" s="373">
        <v>61380.93</v>
      </c>
      <c r="AG24" s="374">
        <f t="shared" si="2"/>
        <v>186440.97</v>
      </c>
      <c r="AH24" s="376">
        <f t="shared" si="3"/>
        <v>-176440.97</v>
      </c>
      <c r="AJ24" s="373"/>
      <c r="AK24" s="373"/>
    </row>
    <row r="25" spans="1:46" ht="2.65" customHeight="1" x14ac:dyDescent="0.25"/>
    <row r="26" spans="1:46" x14ac:dyDescent="0.25">
      <c r="B26" s="487" t="s">
        <v>784</v>
      </c>
      <c r="C26" s="487"/>
      <c r="D26" s="356" t="s">
        <v>764</v>
      </c>
      <c r="E26" s="356" t="s">
        <v>785</v>
      </c>
      <c r="F26" s="356" t="s">
        <v>786</v>
      </c>
      <c r="G26" s="356" t="s">
        <v>787</v>
      </c>
      <c r="H26" s="356" t="s">
        <v>406</v>
      </c>
      <c r="I26" s="381" t="s">
        <v>788</v>
      </c>
      <c r="J26" s="356" t="s">
        <v>789</v>
      </c>
      <c r="K26" s="356"/>
      <c r="L26" s="356"/>
      <c r="M26" s="356"/>
      <c r="N26" s="356"/>
      <c r="O26" s="356"/>
      <c r="P26" s="356"/>
      <c r="Q26" s="356"/>
      <c r="R26" s="357" t="s">
        <v>609</v>
      </c>
      <c r="S26" s="358"/>
      <c r="T26" s="356" t="s">
        <v>785</v>
      </c>
      <c r="U26" s="356" t="s">
        <v>786</v>
      </c>
      <c r="V26" s="356" t="s">
        <v>787</v>
      </c>
      <c r="W26" s="356" t="s">
        <v>406</v>
      </c>
      <c r="X26" s="381" t="s">
        <v>788</v>
      </c>
      <c r="Y26" s="356" t="s">
        <v>789</v>
      </c>
      <c r="Z26" s="356" t="s">
        <v>766</v>
      </c>
      <c r="AA26" s="356" t="s">
        <v>790</v>
      </c>
      <c r="AB26" s="356"/>
      <c r="AC26" s="356"/>
      <c r="AD26" s="356"/>
      <c r="AE26" s="356"/>
      <c r="AF26" s="356"/>
      <c r="AG26" s="357" t="s">
        <v>609</v>
      </c>
      <c r="AH26" s="360"/>
      <c r="AJ26" s="373"/>
      <c r="AK26" s="373"/>
    </row>
    <row r="27" spans="1:46" s="366" customFormat="1" ht="25.15" customHeight="1" x14ac:dyDescent="0.2">
      <c r="A27" s="361"/>
      <c r="B27" s="485" t="s">
        <v>791</v>
      </c>
      <c r="C27" s="485"/>
      <c r="D27" s="382">
        <v>52400</v>
      </c>
      <c r="E27" s="363">
        <v>243</v>
      </c>
      <c r="F27" s="363">
        <v>250</v>
      </c>
      <c r="G27" s="363">
        <v>251</v>
      </c>
      <c r="H27" s="363">
        <v>252</v>
      </c>
      <c r="I27" s="383">
        <v>255</v>
      </c>
      <c r="J27" s="363">
        <v>273</v>
      </c>
      <c r="K27" s="363"/>
      <c r="L27" s="363"/>
      <c r="M27" s="363"/>
      <c r="N27" s="363"/>
      <c r="O27" s="363"/>
      <c r="P27" s="363"/>
      <c r="Q27" s="363"/>
      <c r="R27" s="360"/>
      <c r="S27" s="358"/>
      <c r="T27" s="363">
        <v>243</v>
      </c>
      <c r="U27" s="363">
        <v>250</v>
      </c>
      <c r="V27" s="363">
        <v>251</v>
      </c>
      <c r="W27" s="363">
        <v>252</v>
      </c>
      <c r="X27" s="383">
        <v>255</v>
      </c>
      <c r="Y27" s="363">
        <v>273</v>
      </c>
      <c r="Z27" s="363"/>
      <c r="AA27" s="363"/>
      <c r="AB27" s="363"/>
      <c r="AC27" s="363"/>
      <c r="AD27" s="363"/>
      <c r="AE27" s="363"/>
      <c r="AF27" s="363"/>
      <c r="AG27" s="360"/>
      <c r="AH27" s="360"/>
      <c r="AI27" s="360"/>
      <c r="AJ27" s="360"/>
      <c r="AK27" s="360"/>
      <c r="AL27" s="383"/>
      <c r="AM27" s="383"/>
      <c r="AN27" s="383"/>
      <c r="AO27" s="353"/>
      <c r="AP27" s="353"/>
      <c r="AQ27" s="353"/>
      <c r="AR27" s="353"/>
      <c r="AS27" s="353"/>
      <c r="AT27" s="353"/>
    </row>
    <row r="28" spans="1:46" s="366" customFormat="1" ht="14.45" customHeight="1" x14ac:dyDescent="0.25">
      <c r="A28" s="361"/>
      <c r="B28" s="384"/>
      <c r="C28" s="385" t="s">
        <v>792</v>
      </c>
      <c r="D28" s="386">
        <v>13682</v>
      </c>
      <c r="E28" s="387"/>
      <c r="F28" s="387">
        <v>9396</v>
      </c>
      <c r="G28" s="387"/>
      <c r="H28" s="387">
        <v>14546</v>
      </c>
      <c r="I28" s="388"/>
      <c r="J28" s="387"/>
      <c r="K28" s="363"/>
      <c r="L28" s="363"/>
      <c r="M28" s="363"/>
      <c r="N28" s="363"/>
      <c r="O28" s="363"/>
      <c r="P28" s="363"/>
      <c r="Q28" s="363"/>
      <c r="R28" s="374">
        <f t="shared" ref="R28:R37" si="5">+SUM(E28:Q28)</f>
        <v>23942</v>
      </c>
      <c r="S28" s="375"/>
      <c r="T28" s="387"/>
      <c r="U28" s="387">
        <v>9396</v>
      </c>
      <c r="V28" s="387"/>
      <c r="W28" s="387">
        <v>14546</v>
      </c>
      <c r="X28" s="388"/>
      <c r="Y28" s="387"/>
      <c r="Z28" s="363"/>
      <c r="AA28" s="363"/>
      <c r="AB28" s="363"/>
      <c r="AC28" s="363"/>
      <c r="AD28" s="363"/>
      <c r="AE28" s="363"/>
      <c r="AF28" s="363"/>
      <c r="AG28" s="374">
        <f>+SUM(T28:AE28)</f>
        <v>23942</v>
      </c>
      <c r="AH28" s="376">
        <f t="shared" ref="AH28:AH36" si="6">+AG28+D28</f>
        <v>37624</v>
      </c>
      <c r="AI28" s="360"/>
      <c r="AJ28" s="360"/>
      <c r="AK28" s="360"/>
      <c r="AL28" s="383"/>
      <c r="AM28" s="383"/>
      <c r="AN28" s="383"/>
      <c r="AO28" s="353"/>
      <c r="AP28" s="353"/>
      <c r="AQ28" s="353"/>
      <c r="AR28" s="353"/>
      <c r="AS28" s="353"/>
      <c r="AT28" s="353"/>
    </row>
    <row r="29" spans="1:46" x14ac:dyDescent="0.25">
      <c r="C29" s="370" t="s">
        <v>793</v>
      </c>
      <c r="D29" s="371">
        <v>10040</v>
      </c>
      <c r="E29" s="389">
        <v>10040</v>
      </c>
      <c r="F29" s="389"/>
      <c r="G29" s="389"/>
      <c r="H29" s="389"/>
      <c r="I29" s="389"/>
      <c r="J29" s="389"/>
      <c r="R29" s="374">
        <f t="shared" si="5"/>
        <v>10040</v>
      </c>
      <c r="T29" s="389">
        <v>5654.8</v>
      </c>
      <c r="U29" s="389"/>
      <c r="V29" s="389"/>
      <c r="W29" s="389"/>
      <c r="X29" s="389"/>
      <c r="Y29" s="389"/>
      <c r="AG29" s="374">
        <f t="shared" ref="AG29:AG36" si="7">+SUM(T29:AE29)</f>
        <v>5654.8</v>
      </c>
      <c r="AH29" s="376">
        <f t="shared" si="6"/>
        <v>15694.8</v>
      </c>
      <c r="AJ29" s="373"/>
      <c r="AK29" s="373"/>
    </row>
    <row r="30" spans="1:46" x14ac:dyDescent="0.25">
      <c r="C30" s="370" t="s">
        <v>794</v>
      </c>
      <c r="D30" s="371">
        <v>43558</v>
      </c>
      <c r="E30" s="389"/>
      <c r="F30" s="389"/>
      <c r="G30" s="389">
        <v>3000</v>
      </c>
      <c r="H30" s="389"/>
      <c r="I30" s="389">
        <v>21451</v>
      </c>
      <c r="J30" s="389">
        <v>8778</v>
      </c>
      <c r="R30" s="374">
        <f t="shared" si="5"/>
        <v>33229</v>
      </c>
      <c r="T30" s="389"/>
      <c r="U30" s="389"/>
      <c r="V30" s="389">
        <v>0</v>
      </c>
      <c r="W30" s="389"/>
      <c r="X30" s="389">
        <v>13152.56</v>
      </c>
      <c r="Y30" s="389">
        <v>1462.88</v>
      </c>
      <c r="Z30" s="373">
        <v>10260</v>
      </c>
      <c r="AA30" s="373">
        <v>3657.32</v>
      </c>
      <c r="AG30" s="374">
        <f t="shared" si="7"/>
        <v>28532.76</v>
      </c>
      <c r="AH30" s="376">
        <f t="shared" si="6"/>
        <v>72090.759999999995</v>
      </c>
      <c r="AJ30" s="373"/>
      <c r="AK30" s="373"/>
    </row>
    <row r="31" spans="1:46" x14ac:dyDescent="0.25">
      <c r="C31" s="370" t="s">
        <v>795</v>
      </c>
      <c r="D31" s="371">
        <v>976</v>
      </c>
      <c r="E31" s="389"/>
      <c r="F31" s="389"/>
      <c r="G31" s="389"/>
      <c r="H31" s="389"/>
      <c r="I31" s="389"/>
      <c r="J31" s="389">
        <v>976</v>
      </c>
      <c r="R31" s="374">
        <f t="shared" si="5"/>
        <v>976</v>
      </c>
      <c r="T31" s="389"/>
      <c r="U31" s="389"/>
      <c r="V31" s="389"/>
      <c r="W31" s="389"/>
      <c r="X31" s="389"/>
      <c r="Y31" s="389">
        <v>568.91</v>
      </c>
      <c r="AG31" s="374">
        <f t="shared" si="7"/>
        <v>568.91</v>
      </c>
      <c r="AH31" s="376">
        <f t="shared" si="6"/>
        <v>1544.9099999999999</v>
      </c>
      <c r="AJ31" s="373"/>
      <c r="AK31" s="373"/>
    </row>
    <row r="32" spans="1:46" x14ac:dyDescent="0.25">
      <c r="C32" s="370" t="s">
        <v>796</v>
      </c>
      <c r="D32" s="380">
        <v>93</v>
      </c>
      <c r="E32" s="389"/>
      <c r="F32" s="389">
        <v>93</v>
      </c>
      <c r="G32" s="389"/>
      <c r="H32" s="389"/>
      <c r="I32" s="389"/>
      <c r="J32" s="389"/>
      <c r="R32" s="374">
        <f>+SUM(E32:Q32)*-1</f>
        <v>-93</v>
      </c>
      <c r="T32" s="389"/>
      <c r="U32" s="389">
        <v>92.95</v>
      </c>
      <c r="V32" s="389"/>
      <c r="W32" s="389"/>
      <c r="X32" s="389"/>
      <c r="Y32" s="389"/>
      <c r="AG32" s="374">
        <f t="shared" si="7"/>
        <v>92.95</v>
      </c>
      <c r="AH32" s="376">
        <f t="shared" si="6"/>
        <v>185.95</v>
      </c>
      <c r="AJ32" s="373"/>
      <c r="AK32" s="373"/>
    </row>
    <row r="33" spans="1:46" x14ac:dyDescent="0.25">
      <c r="C33" s="370" t="s">
        <v>780</v>
      </c>
      <c r="D33" s="380">
        <v>258</v>
      </c>
      <c r="E33" s="389"/>
      <c r="F33" s="389">
        <v>257</v>
      </c>
      <c r="G33" s="389"/>
      <c r="H33" s="389"/>
      <c r="I33" s="389"/>
      <c r="J33" s="389"/>
      <c r="R33" s="374">
        <f t="shared" ref="R33:R36" si="8">+SUM(E33:Q33)*-1</f>
        <v>-257</v>
      </c>
      <c r="T33" s="389"/>
      <c r="U33" s="389">
        <v>257.41000000000003</v>
      </c>
      <c r="V33" s="389"/>
      <c r="W33" s="389"/>
      <c r="X33" s="389"/>
      <c r="Y33" s="389"/>
      <c r="AG33" s="374">
        <f t="shared" si="7"/>
        <v>257.41000000000003</v>
      </c>
      <c r="AH33" s="376">
        <f t="shared" si="6"/>
        <v>515.41000000000008</v>
      </c>
      <c r="AJ33" s="373"/>
      <c r="AK33" s="373"/>
    </row>
    <row r="34" spans="1:46" x14ac:dyDescent="0.25">
      <c r="C34" s="370" t="s">
        <v>779</v>
      </c>
      <c r="D34" s="380">
        <v>19</v>
      </c>
      <c r="E34" s="389"/>
      <c r="F34" s="389">
        <v>18</v>
      </c>
      <c r="G34" s="389"/>
      <c r="H34" s="389"/>
      <c r="I34" s="389"/>
      <c r="J34" s="389"/>
      <c r="R34" s="374">
        <f t="shared" si="8"/>
        <v>-18</v>
      </c>
      <c r="T34" s="389"/>
      <c r="U34" s="389">
        <v>18.29</v>
      </c>
      <c r="V34" s="389"/>
      <c r="W34" s="389"/>
      <c r="X34" s="389"/>
      <c r="Y34" s="389"/>
      <c r="AG34" s="374">
        <f t="shared" si="7"/>
        <v>18.29</v>
      </c>
      <c r="AH34" s="376">
        <f t="shared" si="6"/>
        <v>37.29</v>
      </c>
      <c r="AJ34" s="373"/>
      <c r="AK34" s="373"/>
    </row>
    <row r="35" spans="1:46" x14ac:dyDescent="0.25">
      <c r="C35" s="370" t="s">
        <v>797</v>
      </c>
      <c r="D35" s="380">
        <v>57202</v>
      </c>
      <c r="E35" s="389"/>
      <c r="F35" s="389">
        <v>9028</v>
      </c>
      <c r="G35" s="389">
        <v>3000</v>
      </c>
      <c r="H35" s="389">
        <v>14546</v>
      </c>
      <c r="I35" s="389">
        <v>21451</v>
      </c>
      <c r="J35" s="389">
        <v>9753</v>
      </c>
      <c r="R35" s="374">
        <f t="shared" si="8"/>
        <v>-57778</v>
      </c>
      <c r="T35" s="389"/>
      <c r="U35" s="389">
        <v>9027.35</v>
      </c>
      <c r="V35" s="389">
        <v>65.61</v>
      </c>
      <c r="W35" s="389">
        <v>15207.31</v>
      </c>
      <c r="X35" s="389">
        <v>12696</v>
      </c>
      <c r="Y35" s="389">
        <v>5689.11</v>
      </c>
      <c r="AG35" s="374">
        <f t="shared" si="7"/>
        <v>42685.380000000005</v>
      </c>
      <c r="AH35" s="376">
        <f t="shared" si="6"/>
        <v>99887.38</v>
      </c>
      <c r="AJ35" s="373"/>
      <c r="AK35" s="373"/>
    </row>
    <row r="36" spans="1:46" x14ac:dyDescent="0.25">
      <c r="C36" s="370" t="s">
        <v>798</v>
      </c>
      <c r="D36" s="373">
        <v>10040</v>
      </c>
      <c r="E36" s="373">
        <v>10040</v>
      </c>
      <c r="G36" s="372"/>
      <c r="R36" s="374">
        <f t="shared" si="8"/>
        <v>-10040</v>
      </c>
      <c r="T36" s="373">
        <v>3974.47</v>
      </c>
      <c r="V36" s="372"/>
      <c r="AG36" s="374">
        <f t="shared" si="7"/>
        <v>3974.47</v>
      </c>
      <c r="AH36" s="376">
        <f t="shared" si="6"/>
        <v>14014.47</v>
      </c>
    </row>
    <row r="37" spans="1:46" ht="2.65" customHeight="1" x14ac:dyDescent="0.25">
      <c r="C37" s="370"/>
      <c r="G37" s="372"/>
      <c r="R37" s="372">
        <f t="shared" si="5"/>
        <v>0</v>
      </c>
      <c r="V37" s="372"/>
      <c r="AG37" s="372">
        <f>+SUM(T37:AE37)</f>
        <v>0</v>
      </c>
      <c r="AH37" s="375">
        <f>+S37-AG37</f>
        <v>0</v>
      </c>
    </row>
    <row r="38" spans="1:46" x14ac:dyDescent="0.25">
      <c r="B38" s="487" t="s">
        <v>784</v>
      </c>
      <c r="C38" s="487"/>
      <c r="D38" s="356" t="s">
        <v>764</v>
      </c>
      <c r="E38" s="356" t="s">
        <v>799</v>
      </c>
      <c r="F38" s="356" t="s">
        <v>799</v>
      </c>
      <c r="G38" s="356"/>
      <c r="H38" s="356"/>
      <c r="I38" s="390"/>
      <c r="J38" s="356"/>
      <c r="K38" s="356"/>
      <c r="L38" s="356"/>
      <c r="M38" s="356"/>
      <c r="N38" s="356"/>
      <c r="O38" s="356"/>
      <c r="P38" s="356"/>
      <c r="Q38" s="356"/>
      <c r="R38" s="357" t="s">
        <v>609</v>
      </c>
      <c r="S38" s="358"/>
      <c r="T38" s="356" t="s">
        <v>799</v>
      </c>
      <c r="U38" s="356" t="s">
        <v>799</v>
      </c>
      <c r="V38" s="356" t="s">
        <v>800</v>
      </c>
      <c r="W38" s="356" t="s">
        <v>766</v>
      </c>
      <c r="X38" s="390"/>
      <c r="Y38" s="356"/>
      <c r="Z38" s="356"/>
      <c r="AA38" s="356"/>
      <c r="AB38" s="356"/>
      <c r="AC38" s="356"/>
      <c r="AD38" s="356"/>
      <c r="AE38" s="356"/>
      <c r="AF38" s="356"/>
      <c r="AG38" s="357" t="s">
        <v>609</v>
      </c>
      <c r="AH38" s="360"/>
      <c r="AJ38" s="373"/>
      <c r="AK38" s="373"/>
    </row>
    <row r="39" spans="1:46" s="366" customFormat="1" ht="25.15" customHeight="1" x14ac:dyDescent="0.2">
      <c r="A39" s="361"/>
      <c r="B39" s="485" t="s">
        <v>801</v>
      </c>
      <c r="C39" s="485"/>
      <c r="D39" s="382">
        <v>52300</v>
      </c>
      <c r="E39" s="363">
        <v>800</v>
      </c>
      <c r="F39" s="363">
        <v>101</v>
      </c>
      <c r="G39" s="363"/>
      <c r="H39" s="363"/>
      <c r="J39" s="363"/>
      <c r="K39" s="363"/>
      <c r="L39" s="363"/>
      <c r="M39" s="363"/>
      <c r="N39" s="363"/>
      <c r="O39" s="363"/>
      <c r="P39" s="363"/>
      <c r="Q39" s="363"/>
      <c r="R39" s="360"/>
      <c r="S39" s="358"/>
      <c r="T39" s="363">
        <v>800</v>
      </c>
      <c r="U39" s="363">
        <v>101</v>
      </c>
      <c r="V39" s="363"/>
      <c r="W39" s="363"/>
      <c r="Y39" s="363"/>
      <c r="Z39" s="363"/>
      <c r="AA39" s="363"/>
      <c r="AB39" s="363"/>
      <c r="AC39" s="363"/>
      <c r="AD39" s="363"/>
      <c r="AE39" s="363"/>
      <c r="AF39" s="363"/>
      <c r="AG39" s="360"/>
      <c r="AH39" s="360"/>
      <c r="AI39" s="360"/>
      <c r="AJ39" s="360"/>
      <c r="AK39" s="360"/>
      <c r="AL39" s="383"/>
      <c r="AM39" s="383"/>
      <c r="AN39" s="383"/>
      <c r="AO39" s="353"/>
      <c r="AP39" s="353"/>
      <c r="AQ39" s="353"/>
      <c r="AR39" s="353"/>
      <c r="AS39" s="353"/>
      <c r="AT39" s="353"/>
    </row>
    <row r="40" spans="1:46" s="366" customFormat="1" ht="14.45" customHeight="1" x14ac:dyDescent="0.25">
      <c r="A40" s="361"/>
      <c r="B40" s="384"/>
      <c r="C40" s="385" t="s">
        <v>792</v>
      </c>
      <c r="D40" s="386">
        <v>28358</v>
      </c>
      <c r="E40" s="387"/>
      <c r="F40" s="387"/>
      <c r="G40" s="387"/>
      <c r="H40" s="387"/>
      <c r="I40" s="367"/>
      <c r="J40" s="387"/>
      <c r="K40" s="387"/>
      <c r="L40" s="387"/>
      <c r="M40" s="387"/>
      <c r="N40" s="387"/>
      <c r="O40" s="387"/>
      <c r="P40" s="387"/>
      <c r="Q40" s="387"/>
      <c r="R40" s="391">
        <f t="shared" ref="R40:R53" si="9">+SUM(E40:Q40)</f>
        <v>0</v>
      </c>
      <c r="S40" s="358"/>
      <c r="T40" s="387"/>
      <c r="U40" s="387"/>
      <c r="V40" s="387"/>
      <c r="W40" s="387"/>
      <c r="X40" s="367"/>
      <c r="Y40" s="387"/>
      <c r="Z40" s="387"/>
      <c r="AA40" s="387"/>
      <c r="AB40" s="387"/>
      <c r="AC40" s="387"/>
      <c r="AD40" s="387"/>
      <c r="AE40" s="387"/>
      <c r="AF40" s="387"/>
      <c r="AG40" s="392">
        <f t="shared" ref="AG40:AG53" si="10">+SUM(T40:AE40)</f>
        <v>0</v>
      </c>
      <c r="AH40" s="393">
        <f t="shared" ref="AH40:AH53" si="11">+S40-AG40</f>
        <v>0</v>
      </c>
      <c r="AI40" s="387"/>
      <c r="AJ40" s="387"/>
      <c r="AK40" s="387"/>
      <c r="AL40" s="357"/>
      <c r="AM40" s="357"/>
      <c r="AN40" s="357"/>
      <c r="AO40" s="353"/>
      <c r="AP40" s="353"/>
      <c r="AQ40" s="353"/>
      <c r="AR40" s="353"/>
      <c r="AS40" s="353"/>
      <c r="AT40" s="353"/>
    </row>
    <row r="41" spans="1:46" x14ac:dyDescent="0.25">
      <c r="C41" s="370" t="s">
        <v>802</v>
      </c>
      <c r="D41" s="371">
        <v>1000000</v>
      </c>
      <c r="E41" s="389">
        <v>1000000</v>
      </c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91">
        <f t="shared" si="9"/>
        <v>1000000</v>
      </c>
      <c r="S41" s="358"/>
      <c r="T41" s="389">
        <v>327908.45</v>
      </c>
      <c r="U41" s="389"/>
      <c r="V41" s="389">
        <v>173882.56</v>
      </c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92">
        <f t="shared" si="10"/>
        <v>501791.01</v>
      </c>
      <c r="AH41" s="393">
        <f t="shared" si="11"/>
        <v>-501791.01</v>
      </c>
      <c r="AI41" s="389"/>
      <c r="AJ41" s="389"/>
      <c r="AK41" s="389"/>
      <c r="AL41" s="373"/>
      <c r="AM41" s="373"/>
      <c r="AN41" s="373"/>
    </row>
    <row r="42" spans="1:46" x14ac:dyDescent="0.25">
      <c r="C42" s="370" t="s">
        <v>803</v>
      </c>
      <c r="D42" s="380">
        <v>142083</v>
      </c>
      <c r="E42" s="389"/>
      <c r="F42" s="389">
        <v>144163</v>
      </c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91">
        <f t="shared" si="9"/>
        <v>144163</v>
      </c>
      <c r="S42" s="358"/>
      <c r="T42" s="389"/>
      <c r="U42" s="389">
        <v>71075.12</v>
      </c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92">
        <f t="shared" si="10"/>
        <v>71075.12</v>
      </c>
      <c r="AH42" s="393">
        <f t="shared" si="11"/>
        <v>-71075.12</v>
      </c>
      <c r="AI42" s="389"/>
      <c r="AJ42" s="389"/>
      <c r="AK42" s="389"/>
      <c r="AL42" s="373"/>
      <c r="AM42" s="373"/>
      <c r="AN42" s="373"/>
    </row>
    <row r="43" spans="1:46" x14ac:dyDescent="0.25">
      <c r="C43" s="370" t="s">
        <v>393</v>
      </c>
      <c r="D43" s="380">
        <v>2061</v>
      </c>
      <c r="E43" s="389"/>
      <c r="F43" s="389">
        <v>2091</v>
      </c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91">
        <f t="shared" si="9"/>
        <v>2091</v>
      </c>
      <c r="S43" s="358"/>
      <c r="T43" s="389"/>
      <c r="U43" s="389">
        <v>1003.77</v>
      </c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92">
        <f t="shared" si="10"/>
        <v>1003.77</v>
      </c>
      <c r="AH43" s="393">
        <f t="shared" si="11"/>
        <v>-1003.77</v>
      </c>
      <c r="AI43" s="389"/>
      <c r="AJ43" s="389"/>
      <c r="AK43" s="389"/>
      <c r="AL43" s="373"/>
      <c r="AM43" s="373"/>
      <c r="AN43" s="373"/>
    </row>
    <row r="44" spans="1:46" x14ac:dyDescent="0.25">
      <c r="C44" s="370" t="s">
        <v>779</v>
      </c>
      <c r="D44" s="380">
        <v>498</v>
      </c>
      <c r="E44" s="389"/>
      <c r="F44" s="389">
        <v>505</v>
      </c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91">
        <f>+SUM(E44:Q44)</f>
        <v>505</v>
      </c>
      <c r="S44" s="358"/>
      <c r="T44" s="389"/>
      <c r="U44" s="389">
        <v>311.35000000000002</v>
      </c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92">
        <f t="shared" si="10"/>
        <v>311.35000000000002</v>
      </c>
      <c r="AH44" s="393">
        <f t="shared" si="11"/>
        <v>-311.35000000000002</v>
      </c>
      <c r="AI44" s="389"/>
      <c r="AJ44" s="389"/>
      <c r="AK44" s="389"/>
      <c r="AL44" s="373"/>
      <c r="AM44" s="373"/>
      <c r="AN44" s="373"/>
    </row>
    <row r="45" spans="1:46" x14ac:dyDescent="0.25">
      <c r="C45" s="370" t="s">
        <v>780</v>
      </c>
      <c r="D45" s="380">
        <v>10870</v>
      </c>
      <c r="E45" s="389"/>
      <c r="F45" s="389">
        <v>11750</v>
      </c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91">
        <f t="shared" si="9"/>
        <v>11750</v>
      </c>
      <c r="S45" s="358"/>
      <c r="T45" s="389"/>
      <c r="U45" s="389">
        <v>5765.75</v>
      </c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92">
        <f t="shared" si="10"/>
        <v>5765.75</v>
      </c>
      <c r="AH45" s="393">
        <f t="shared" si="11"/>
        <v>-5765.75</v>
      </c>
      <c r="AI45" s="389"/>
      <c r="AJ45" s="389"/>
      <c r="AK45" s="389"/>
      <c r="AL45" s="373"/>
      <c r="AM45" s="373"/>
      <c r="AN45" s="373"/>
    </row>
    <row r="46" spans="1:46" x14ac:dyDescent="0.25">
      <c r="C46" s="370" t="s">
        <v>804</v>
      </c>
      <c r="D46" s="380">
        <v>44</v>
      </c>
      <c r="E46" s="389"/>
      <c r="F46" s="389">
        <v>37</v>
      </c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91">
        <f>+SUM(E46:Q46)</f>
        <v>37</v>
      </c>
      <c r="S46" s="358"/>
      <c r="T46" s="389"/>
      <c r="U46" s="389">
        <v>25.3</v>
      </c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92">
        <f t="shared" si="10"/>
        <v>25.3</v>
      </c>
      <c r="AH46" s="393">
        <f t="shared" si="11"/>
        <v>-25.3</v>
      </c>
      <c r="AI46" s="389"/>
      <c r="AJ46" s="389"/>
      <c r="AK46" s="389"/>
      <c r="AL46" s="373"/>
      <c r="AM46" s="373"/>
      <c r="AN46" s="373"/>
    </row>
    <row r="47" spans="1:46" x14ac:dyDescent="0.25">
      <c r="C47" s="370" t="s">
        <v>805</v>
      </c>
      <c r="D47" s="380">
        <v>11690</v>
      </c>
      <c r="E47" s="389"/>
      <c r="F47" s="389">
        <v>11506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91">
        <f t="shared" si="9"/>
        <v>11506</v>
      </c>
      <c r="S47" s="358"/>
      <c r="T47" s="389"/>
      <c r="U47" s="389">
        <v>5795.51</v>
      </c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92">
        <f t="shared" si="10"/>
        <v>5795.51</v>
      </c>
      <c r="AH47" s="393">
        <f t="shared" si="11"/>
        <v>-5795.51</v>
      </c>
      <c r="AI47" s="389"/>
      <c r="AJ47" s="389"/>
      <c r="AK47" s="389"/>
      <c r="AL47" s="373"/>
      <c r="AM47" s="373"/>
      <c r="AN47" s="373"/>
    </row>
    <row r="48" spans="1:46" x14ac:dyDescent="0.25">
      <c r="C48" s="370" t="s">
        <v>606</v>
      </c>
      <c r="D48" s="380">
        <v>704</v>
      </c>
      <c r="E48" s="389"/>
      <c r="F48" s="389">
        <v>1009</v>
      </c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91">
        <f t="shared" si="9"/>
        <v>1009</v>
      </c>
      <c r="S48" s="358"/>
      <c r="T48" s="389"/>
      <c r="U48" s="389">
        <v>546.39</v>
      </c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92">
        <f t="shared" si="10"/>
        <v>546.39</v>
      </c>
      <c r="AH48" s="393">
        <f t="shared" si="11"/>
        <v>-546.39</v>
      </c>
      <c r="AI48" s="389"/>
      <c r="AJ48" s="389"/>
      <c r="AK48" s="389"/>
      <c r="AL48" s="373"/>
      <c r="AM48" s="373"/>
      <c r="AN48" s="373"/>
    </row>
    <row r="49" spans="1:46" x14ac:dyDescent="0.25">
      <c r="C49" s="370" t="s">
        <v>607</v>
      </c>
      <c r="D49" s="380">
        <v>170</v>
      </c>
      <c r="E49" s="389"/>
      <c r="F49" s="389">
        <v>245</v>
      </c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91">
        <f t="shared" si="9"/>
        <v>245</v>
      </c>
      <c r="S49" s="358"/>
      <c r="T49" s="389"/>
      <c r="U49" s="389">
        <v>132.55000000000001</v>
      </c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92">
        <f t="shared" si="10"/>
        <v>132.55000000000001</v>
      </c>
      <c r="AH49" s="393">
        <f t="shared" si="11"/>
        <v>-132.55000000000001</v>
      </c>
      <c r="AI49" s="389"/>
      <c r="AJ49" s="389"/>
      <c r="AK49" s="389"/>
      <c r="AL49" s="373"/>
      <c r="AM49" s="373"/>
      <c r="AN49" s="373"/>
    </row>
    <row r="50" spans="1:46" x14ac:dyDescent="0.25">
      <c r="C50" s="370" t="s">
        <v>608</v>
      </c>
      <c r="D50" s="380">
        <v>528</v>
      </c>
      <c r="E50" s="389"/>
      <c r="F50" s="389">
        <v>380</v>
      </c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91">
        <f>+SUM(E50:Q50)</f>
        <v>380</v>
      </c>
      <c r="S50" s="358"/>
      <c r="T50" s="389"/>
      <c r="U50" s="389">
        <v>189.8</v>
      </c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92">
        <f t="shared" si="10"/>
        <v>189.8</v>
      </c>
      <c r="AH50" s="393">
        <f t="shared" si="11"/>
        <v>-189.8</v>
      </c>
      <c r="AI50" s="389"/>
      <c r="AJ50" s="389"/>
      <c r="AK50" s="389"/>
      <c r="AL50" s="373"/>
      <c r="AM50" s="373"/>
      <c r="AN50" s="373"/>
    </row>
    <row r="51" spans="1:46" x14ac:dyDescent="0.25">
      <c r="C51" s="370" t="s">
        <v>806</v>
      </c>
      <c r="D51" s="380">
        <v>700</v>
      </c>
      <c r="E51" s="389"/>
      <c r="F51" s="389">
        <v>700</v>
      </c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91">
        <f>+SUM(E51:Q51)</f>
        <v>700</v>
      </c>
      <c r="S51" s="358"/>
      <c r="T51" s="389"/>
      <c r="U51" s="389">
        <v>0</v>
      </c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92">
        <f t="shared" si="10"/>
        <v>0</v>
      </c>
      <c r="AH51" s="393">
        <f t="shared" si="11"/>
        <v>0</v>
      </c>
      <c r="AI51" s="389"/>
      <c r="AJ51" s="389"/>
      <c r="AK51" s="389"/>
      <c r="AL51" s="373"/>
      <c r="AM51" s="373"/>
      <c r="AN51" s="373"/>
    </row>
    <row r="52" spans="1:46" x14ac:dyDescent="0.25">
      <c r="C52" s="370" t="s">
        <v>807</v>
      </c>
      <c r="D52" s="380">
        <v>1500</v>
      </c>
      <c r="F52" s="373">
        <v>1500</v>
      </c>
      <c r="R52" s="391">
        <f t="shared" si="9"/>
        <v>1500</v>
      </c>
      <c r="S52" s="358"/>
      <c r="U52" s="373">
        <v>600</v>
      </c>
      <c r="V52" s="389"/>
      <c r="AG52" s="392">
        <f t="shared" si="10"/>
        <v>600</v>
      </c>
      <c r="AH52" s="393">
        <f t="shared" si="11"/>
        <v>-600</v>
      </c>
      <c r="AJ52" s="373"/>
      <c r="AK52" s="373"/>
    </row>
    <row r="53" spans="1:46" x14ac:dyDescent="0.25">
      <c r="C53" s="370" t="s">
        <v>808</v>
      </c>
      <c r="D53" s="380">
        <v>870166</v>
      </c>
      <c r="E53" s="373">
        <v>1000000</v>
      </c>
      <c r="R53" s="391">
        <f t="shared" si="9"/>
        <v>1000000</v>
      </c>
      <c r="S53" s="358"/>
      <c r="T53" s="373">
        <v>334887.55</v>
      </c>
      <c r="W53" s="373">
        <v>12656</v>
      </c>
      <c r="AG53" s="392">
        <f t="shared" si="10"/>
        <v>347543.55</v>
      </c>
      <c r="AH53" s="393">
        <f t="shared" si="11"/>
        <v>-347543.55</v>
      </c>
      <c r="AJ53" s="373"/>
      <c r="AK53" s="373"/>
    </row>
    <row r="54" spans="1:46" ht="2.65" customHeight="1" x14ac:dyDescent="0.25">
      <c r="C54" s="370"/>
      <c r="G54" s="372"/>
      <c r="R54" s="372"/>
      <c r="V54" s="372"/>
      <c r="AG54" s="372"/>
    </row>
    <row r="55" spans="1:46" s="353" customFormat="1" ht="14.45" customHeight="1" x14ac:dyDescent="0.2">
      <c r="A55" s="352"/>
      <c r="C55" s="354"/>
      <c r="D55" s="355" t="s">
        <v>764</v>
      </c>
      <c r="E55" s="356" t="s">
        <v>809</v>
      </c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7"/>
      <c r="S55" s="358"/>
      <c r="T55" s="356" t="s">
        <v>809</v>
      </c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7"/>
      <c r="AH55" s="360"/>
      <c r="AI55" s="357"/>
      <c r="AJ55" s="357"/>
      <c r="AK55" s="357"/>
    </row>
    <row r="56" spans="1:46" s="366" customFormat="1" ht="25.15" customHeight="1" x14ac:dyDescent="0.2">
      <c r="A56" s="361"/>
      <c r="B56" s="486" t="s">
        <v>810</v>
      </c>
      <c r="C56" s="486"/>
      <c r="D56" s="362">
        <v>50700</v>
      </c>
      <c r="E56" s="363">
        <v>210</v>
      </c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5"/>
      <c r="T56" s="363">
        <v>210</v>
      </c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3"/>
      <c r="AI56" s="367"/>
      <c r="AJ56" s="367"/>
      <c r="AK56" s="367"/>
    </row>
    <row r="57" spans="1:46" x14ac:dyDescent="0.25">
      <c r="C57" s="370" t="s">
        <v>811</v>
      </c>
      <c r="D57" s="371">
        <v>40000</v>
      </c>
      <c r="E57" s="372">
        <v>47100</v>
      </c>
      <c r="R57" s="374">
        <f>+SUM(E57:Q57)</f>
        <v>47100</v>
      </c>
      <c r="T57" s="372">
        <v>47014.71</v>
      </c>
      <c r="AG57" s="374">
        <f>+SUM(T57:AE57)</f>
        <v>47014.71</v>
      </c>
      <c r="AH57" s="376">
        <f>+S57-AG57</f>
        <v>-47014.71</v>
      </c>
      <c r="AJ57" s="373"/>
      <c r="AK57" s="373"/>
    </row>
    <row r="58" spans="1:46" x14ac:dyDescent="0.25">
      <c r="C58" s="370" t="s">
        <v>783</v>
      </c>
      <c r="D58" s="377">
        <v>40000</v>
      </c>
      <c r="E58" s="373">
        <v>47100</v>
      </c>
      <c r="R58" s="374">
        <f>+SUM(E58:Q58)</f>
        <v>47100</v>
      </c>
      <c r="T58" s="373">
        <v>46439.23</v>
      </c>
      <c r="AG58" s="374">
        <f>+SUM(T58:AE58)</f>
        <v>46439.23</v>
      </c>
      <c r="AH58" s="376">
        <f>+S58-AG58</f>
        <v>-46439.23</v>
      </c>
      <c r="AJ58" s="373"/>
      <c r="AK58" s="373"/>
    </row>
    <row r="59" spans="1:46" ht="2.65" customHeight="1" x14ac:dyDescent="0.25">
      <c r="E59" s="372"/>
      <c r="T59" s="372"/>
    </row>
    <row r="60" spans="1:46" x14ac:dyDescent="0.25">
      <c r="B60" s="487" t="s">
        <v>784</v>
      </c>
      <c r="C60" s="487"/>
      <c r="D60" s="356" t="s">
        <v>764</v>
      </c>
      <c r="E60" s="356" t="s">
        <v>812</v>
      </c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7" t="s">
        <v>609</v>
      </c>
      <c r="S60" s="358"/>
      <c r="T60" s="356" t="s">
        <v>813</v>
      </c>
      <c r="U60" s="356" t="s">
        <v>766</v>
      </c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7" t="s">
        <v>609</v>
      </c>
      <c r="AH60" s="360"/>
      <c r="AJ60" s="373"/>
      <c r="AK60" s="373"/>
    </row>
    <row r="61" spans="1:46" s="366" customFormat="1" ht="25.15" customHeight="1" x14ac:dyDescent="0.2">
      <c r="A61" s="361"/>
      <c r="B61" s="485" t="s">
        <v>814</v>
      </c>
      <c r="C61" s="485"/>
      <c r="D61" s="382">
        <v>40400</v>
      </c>
      <c r="E61" s="365">
        <v>510</v>
      </c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0"/>
      <c r="S61" s="358"/>
      <c r="T61" s="365">
        <v>510</v>
      </c>
      <c r="U61" s="365"/>
      <c r="V61" s="363"/>
      <c r="W61" s="363"/>
      <c r="X61" s="363"/>
      <c r="Y61" s="363"/>
      <c r="Z61" s="363"/>
      <c r="AA61" s="363"/>
      <c r="AB61" s="363"/>
      <c r="AC61" s="363"/>
      <c r="AD61" s="363"/>
      <c r="AE61" s="363"/>
      <c r="AF61" s="363"/>
      <c r="AG61" s="360"/>
      <c r="AH61" s="360"/>
      <c r="AI61" s="360"/>
      <c r="AJ61" s="360"/>
      <c r="AK61" s="360"/>
      <c r="AL61" s="383"/>
      <c r="AM61" s="383"/>
      <c r="AN61" s="383"/>
      <c r="AO61" s="353"/>
      <c r="AP61" s="353"/>
      <c r="AQ61" s="353"/>
      <c r="AR61" s="353"/>
      <c r="AS61" s="353"/>
      <c r="AT61" s="353"/>
    </row>
    <row r="62" spans="1:46" x14ac:dyDescent="0.25">
      <c r="C62" s="370" t="s">
        <v>768</v>
      </c>
      <c r="D62" s="371"/>
      <c r="E62" s="372"/>
      <c r="R62" s="374">
        <f>+SUM(E62:Q62)</f>
        <v>0</v>
      </c>
      <c r="T62" s="372"/>
      <c r="U62" s="372"/>
      <c r="AG62" s="374">
        <f t="shared" ref="AG62:AG67" si="12">+SUM(T62:AE62)</f>
        <v>0</v>
      </c>
      <c r="AH62" s="376">
        <f>+S62-AG62</f>
        <v>0</v>
      </c>
      <c r="AJ62" s="373"/>
      <c r="AK62" s="373"/>
    </row>
    <row r="63" spans="1:46" x14ac:dyDescent="0.25">
      <c r="C63" s="370" t="s">
        <v>815</v>
      </c>
      <c r="D63" s="371"/>
      <c r="E63" s="372"/>
      <c r="R63" s="374">
        <f>+SUM(E63:Q63)</f>
        <v>0</v>
      </c>
      <c r="T63" s="372"/>
      <c r="U63" s="372"/>
      <c r="AG63" s="374">
        <f t="shared" si="12"/>
        <v>0</v>
      </c>
      <c r="AH63" s="376">
        <f>+S63-AG63</f>
        <v>0</v>
      </c>
      <c r="AJ63" s="373"/>
      <c r="AK63" s="373"/>
    </row>
    <row r="64" spans="1:46" x14ac:dyDescent="0.25">
      <c r="C64" s="370" t="s">
        <v>795</v>
      </c>
      <c r="D64" s="371">
        <v>13826</v>
      </c>
      <c r="E64" s="372">
        <v>13826</v>
      </c>
      <c r="R64" s="374">
        <f>+SUM(E64:Q64)</f>
        <v>13826</v>
      </c>
      <c r="T64" s="372">
        <v>0</v>
      </c>
      <c r="U64" s="372"/>
      <c r="AG64" s="374">
        <f t="shared" si="12"/>
        <v>0</v>
      </c>
      <c r="AH64" s="376">
        <f>+S64-AG64</f>
        <v>0</v>
      </c>
      <c r="AJ64" s="373"/>
      <c r="AK64" s="373"/>
    </row>
    <row r="65" spans="1:46" x14ac:dyDescent="0.25">
      <c r="C65" s="370" t="s">
        <v>816</v>
      </c>
      <c r="D65" s="380">
        <v>13825</v>
      </c>
      <c r="E65" s="372"/>
      <c r="R65" s="374"/>
      <c r="T65" s="372">
        <v>0</v>
      </c>
      <c r="U65" s="372"/>
      <c r="AG65" s="374">
        <f t="shared" si="12"/>
        <v>0</v>
      </c>
      <c r="AH65" s="376"/>
      <c r="AJ65" s="373"/>
      <c r="AK65" s="373"/>
    </row>
    <row r="66" spans="1:46" x14ac:dyDescent="0.25">
      <c r="C66" s="394" t="s">
        <v>808</v>
      </c>
      <c r="D66" s="380"/>
      <c r="E66" s="372">
        <v>13826</v>
      </c>
      <c r="R66" s="374">
        <f>+SUM(E66:Q66)</f>
        <v>13826</v>
      </c>
      <c r="T66" s="372"/>
      <c r="U66" s="372">
        <v>204895</v>
      </c>
      <c r="AG66" s="374">
        <f t="shared" si="12"/>
        <v>204895</v>
      </c>
      <c r="AH66" s="376">
        <f>+S66-AG66</f>
        <v>-204895</v>
      </c>
      <c r="AJ66" s="373"/>
      <c r="AK66" s="373"/>
    </row>
    <row r="67" spans="1:46" ht="2.65" customHeight="1" x14ac:dyDescent="0.25">
      <c r="AG67" s="374">
        <f t="shared" si="12"/>
        <v>0</v>
      </c>
    </row>
    <row r="68" spans="1:46" x14ac:dyDescent="0.25">
      <c r="B68" s="487" t="s">
        <v>784</v>
      </c>
      <c r="C68" s="487"/>
      <c r="D68" s="356" t="s">
        <v>764</v>
      </c>
      <c r="E68" s="356" t="s">
        <v>812</v>
      </c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7" t="s">
        <v>609</v>
      </c>
      <c r="S68" s="358"/>
      <c r="T68" s="356" t="s">
        <v>817</v>
      </c>
      <c r="U68" s="356" t="s">
        <v>818</v>
      </c>
      <c r="V68" s="356" t="s">
        <v>819</v>
      </c>
      <c r="W68" s="356" t="s">
        <v>766</v>
      </c>
      <c r="X68" s="356"/>
      <c r="Y68" s="356"/>
      <c r="Z68" s="356"/>
      <c r="AA68" s="356"/>
      <c r="AB68" s="356"/>
      <c r="AC68" s="356"/>
      <c r="AD68" s="356"/>
      <c r="AE68" s="356"/>
      <c r="AF68" s="356"/>
      <c r="AG68" s="357" t="s">
        <v>609</v>
      </c>
      <c r="AH68" s="360"/>
      <c r="AJ68" s="373"/>
      <c r="AK68" s="373"/>
    </row>
    <row r="69" spans="1:46" s="366" customFormat="1" ht="25.15" customHeight="1" x14ac:dyDescent="0.2">
      <c r="A69" s="361"/>
      <c r="B69" s="485" t="s">
        <v>820</v>
      </c>
      <c r="C69" s="485"/>
      <c r="D69" s="382">
        <v>40200</v>
      </c>
      <c r="E69" s="365">
        <v>510</v>
      </c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0"/>
      <c r="S69" s="358"/>
      <c r="T69" s="383">
        <v>510</v>
      </c>
      <c r="U69" s="395"/>
      <c r="V69" s="395">
        <v>520</v>
      </c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0"/>
      <c r="AH69" s="360"/>
      <c r="AI69" s="360"/>
      <c r="AJ69" s="360"/>
      <c r="AK69" s="360"/>
      <c r="AL69" s="383"/>
      <c r="AM69" s="383"/>
      <c r="AN69" s="383"/>
      <c r="AO69" s="353"/>
      <c r="AP69" s="353"/>
      <c r="AQ69" s="353"/>
      <c r="AR69" s="353"/>
      <c r="AS69" s="353"/>
      <c r="AT69" s="353"/>
    </row>
    <row r="70" spans="1:46" x14ac:dyDescent="0.25">
      <c r="C70" s="370" t="s">
        <v>768</v>
      </c>
      <c r="D70" s="371">
        <v>136932.14000000001</v>
      </c>
      <c r="E70" s="372"/>
      <c r="R70" s="374">
        <f>+SUM(E70:Q70)</f>
        <v>0</v>
      </c>
      <c r="U70" s="396"/>
      <c r="V70" s="396"/>
      <c r="AG70" s="374">
        <f t="shared" ref="AG70:AG78" si="13">+SUM(T70:AE70)</f>
        <v>0</v>
      </c>
      <c r="AH70" s="376">
        <f>+S70-AG70</f>
        <v>0</v>
      </c>
      <c r="AJ70" s="373"/>
      <c r="AK70" s="373"/>
    </row>
    <row r="71" spans="1:46" x14ac:dyDescent="0.25">
      <c r="C71" s="394" t="s">
        <v>821</v>
      </c>
      <c r="D71" s="371">
        <v>600</v>
      </c>
      <c r="E71" s="372"/>
      <c r="R71" s="374"/>
      <c r="U71" s="396"/>
      <c r="V71" s="396">
        <v>285.60000000000002</v>
      </c>
      <c r="AG71" s="374">
        <f t="shared" si="13"/>
        <v>285.60000000000002</v>
      </c>
      <c r="AH71" s="376"/>
      <c r="AJ71" s="373"/>
      <c r="AK71" s="373"/>
    </row>
    <row r="72" spans="1:46" x14ac:dyDescent="0.25">
      <c r="C72" s="370" t="s">
        <v>815</v>
      </c>
      <c r="D72" s="371">
        <v>394295.07</v>
      </c>
      <c r="E72" s="372"/>
      <c r="R72" s="374">
        <f>+SUM(E72:Q72)</f>
        <v>0</v>
      </c>
      <c r="U72" s="396">
        <v>125306.48</v>
      </c>
      <c r="V72" s="396">
        <v>268988.59000000003</v>
      </c>
      <c r="AG72" s="374">
        <f t="shared" si="13"/>
        <v>394295.07</v>
      </c>
      <c r="AH72" s="376">
        <f>+S72-AG72</f>
        <v>-394295.07</v>
      </c>
      <c r="AJ72" s="373"/>
      <c r="AK72" s="373"/>
    </row>
    <row r="73" spans="1:46" x14ac:dyDescent="0.25">
      <c r="C73" s="394" t="s">
        <v>822</v>
      </c>
      <c r="D73" s="371">
        <v>4500</v>
      </c>
      <c r="E73" s="372"/>
      <c r="R73" s="374"/>
      <c r="U73" s="396">
        <v>993</v>
      </c>
      <c r="V73" s="396">
        <v>2201.41</v>
      </c>
      <c r="AG73" s="374">
        <f t="shared" si="13"/>
        <v>3194.41</v>
      </c>
      <c r="AH73" s="376"/>
      <c r="AJ73" s="373"/>
      <c r="AK73" s="373"/>
    </row>
    <row r="74" spans="1:46" x14ac:dyDescent="0.25">
      <c r="C74" s="370" t="s">
        <v>823</v>
      </c>
      <c r="D74" s="371">
        <v>148093.56</v>
      </c>
      <c r="E74" s="372">
        <v>265563</v>
      </c>
      <c r="R74" s="374">
        <f>+SUM(E74:Q74)</f>
        <v>265563</v>
      </c>
      <c r="T74" s="373">
        <f>58734.66+74046.78</f>
        <v>132781.44</v>
      </c>
      <c r="U74" s="396"/>
      <c r="V74" s="396"/>
      <c r="AG74" s="374">
        <f t="shared" si="13"/>
        <v>132781.44</v>
      </c>
      <c r="AH74" s="376">
        <f>+S74-AG74</f>
        <v>-132781.44</v>
      </c>
      <c r="AJ74" s="373"/>
      <c r="AK74" s="373"/>
    </row>
    <row r="75" spans="1:46" x14ac:dyDescent="0.25">
      <c r="C75" s="394" t="s">
        <v>824</v>
      </c>
      <c r="D75" s="371">
        <v>2200</v>
      </c>
      <c r="E75" s="372"/>
      <c r="R75" s="374"/>
      <c r="U75" s="396">
        <v>920.84</v>
      </c>
      <c r="V75" s="396">
        <v>923.52</v>
      </c>
      <c r="AG75" s="374">
        <f t="shared" si="13"/>
        <v>1844.3600000000001</v>
      </c>
      <c r="AH75" s="376"/>
      <c r="AJ75" s="373"/>
      <c r="AK75" s="373"/>
    </row>
    <row r="76" spans="1:46" x14ac:dyDescent="0.25">
      <c r="C76" s="370" t="s">
        <v>825</v>
      </c>
      <c r="D76" s="380">
        <f>+D74+D75</f>
        <v>150293.56</v>
      </c>
      <c r="E76" s="372">
        <v>265563</v>
      </c>
      <c r="R76" s="374">
        <f>+SUM(E76:Q76)</f>
        <v>265563</v>
      </c>
      <c r="U76" s="396">
        <v>18001.46</v>
      </c>
      <c r="V76" s="396">
        <v>50330.77</v>
      </c>
      <c r="AG76" s="374">
        <f t="shared" si="13"/>
        <v>68332.23</v>
      </c>
      <c r="AH76" s="376"/>
      <c r="AJ76" s="373"/>
      <c r="AK76" s="373"/>
    </row>
    <row r="77" spans="1:46" x14ac:dyDescent="0.25">
      <c r="C77" s="394" t="s">
        <v>808</v>
      </c>
      <c r="D77" s="380">
        <f>+D71+D70</f>
        <v>137532.14000000001</v>
      </c>
      <c r="E77" s="372">
        <v>265563</v>
      </c>
      <c r="R77" s="374">
        <f>+SUM(E77:Q77)</f>
        <v>265563</v>
      </c>
      <c r="U77" s="396"/>
      <c r="V77" s="396"/>
      <c r="W77" s="373">
        <v>1260693.8600000001</v>
      </c>
      <c r="AG77" s="374">
        <f t="shared" si="13"/>
        <v>1260693.8600000001</v>
      </c>
      <c r="AH77" s="376">
        <f>+S77-AG77</f>
        <v>-1260693.8600000001</v>
      </c>
      <c r="AJ77" s="373"/>
      <c r="AK77" s="373"/>
    </row>
    <row r="78" spans="1:46" ht="2.4500000000000002" customHeight="1" x14ac:dyDescent="0.25">
      <c r="D78" s="373">
        <v>0</v>
      </c>
      <c r="AG78" s="374">
        <f t="shared" si="13"/>
        <v>0</v>
      </c>
    </row>
    <row r="79" spans="1:46" x14ac:dyDescent="0.25">
      <c r="B79" s="487" t="s">
        <v>784</v>
      </c>
      <c r="C79" s="487"/>
      <c r="D79" s="356" t="s">
        <v>764</v>
      </c>
      <c r="E79" s="356" t="s">
        <v>812</v>
      </c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7" t="s">
        <v>609</v>
      </c>
      <c r="S79" s="358"/>
      <c r="T79" s="397" t="s">
        <v>817</v>
      </c>
      <c r="U79" s="356" t="s">
        <v>826</v>
      </c>
      <c r="V79" s="356" t="s">
        <v>766</v>
      </c>
      <c r="W79" s="356" t="s">
        <v>790</v>
      </c>
      <c r="X79" s="356"/>
      <c r="Y79" s="356"/>
      <c r="Z79" s="356"/>
      <c r="AA79" s="356"/>
      <c r="AB79" s="356"/>
      <c r="AC79" s="356"/>
      <c r="AD79" s="356"/>
      <c r="AE79" s="356"/>
      <c r="AF79" s="356"/>
      <c r="AG79" s="357" t="s">
        <v>609</v>
      </c>
      <c r="AH79" s="360"/>
      <c r="AJ79" s="373"/>
      <c r="AK79" s="373"/>
    </row>
    <row r="80" spans="1:46" s="366" customFormat="1" ht="25.15" customHeight="1" x14ac:dyDescent="0.2">
      <c r="A80" s="361"/>
      <c r="B80" s="485" t="s">
        <v>827</v>
      </c>
      <c r="C80" s="485"/>
      <c r="D80" s="382">
        <v>40100</v>
      </c>
      <c r="E80" s="365">
        <v>510</v>
      </c>
      <c r="F80" s="363"/>
      <c r="G80" s="363"/>
      <c r="H80" s="363"/>
      <c r="I80" s="363"/>
      <c r="J80" s="363"/>
      <c r="K80" s="363"/>
      <c r="L80" s="363"/>
      <c r="M80" s="363"/>
      <c r="N80" s="363"/>
      <c r="O80" s="363"/>
      <c r="P80" s="363"/>
      <c r="Q80" s="363"/>
      <c r="R80" s="360"/>
      <c r="S80" s="358"/>
      <c r="T80" s="383">
        <v>510</v>
      </c>
      <c r="U80" s="395">
        <v>521</v>
      </c>
      <c r="V80" s="363"/>
      <c r="W80" s="363"/>
      <c r="X80" s="363"/>
      <c r="Y80" s="363"/>
      <c r="Z80" s="363"/>
      <c r="AA80" s="363"/>
      <c r="AB80" s="363"/>
      <c r="AC80" s="363"/>
      <c r="AD80" s="363"/>
      <c r="AE80" s="363"/>
      <c r="AF80" s="363"/>
      <c r="AG80" s="360"/>
      <c r="AH80" s="360"/>
      <c r="AI80" s="360"/>
      <c r="AJ80" s="360"/>
      <c r="AK80" s="360"/>
      <c r="AL80" s="383"/>
      <c r="AM80" s="383"/>
      <c r="AN80" s="383"/>
      <c r="AO80" s="353"/>
      <c r="AP80" s="353"/>
      <c r="AQ80" s="353"/>
      <c r="AR80" s="353"/>
      <c r="AS80" s="353"/>
      <c r="AT80" s="353"/>
    </row>
    <row r="81" spans="1:46" x14ac:dyDescent="0.25">
      <c r="C81" s="370" t="s">
        <v>768</v>
      </c>
      <c r="D81" s="371">
        <v>60096.61</v>
      </c>
      <c r="E81" s="372"/>
      <c r="R81" s="374">
        <f>+SUM(E81:Q81)</f>
        <v>0</v>
      </c>
      <c r="U81" s="396"/>
      <c r="AG81" s="374">
        <f t="shared" ref="AG81:AG87" si="14">+SUM(T81:AE81)</f>
        <v>0</v>
      </c>
      <c r="AH81" s="376">
        <f>+S81-AG81</f>
        <v>0</v>
      </c>
      <c r="AJ81" s="373"/>
      <c r="AK81" s="373"/>
    </row>
    <row r="82" spans="1:46" x14ac:dyDescent="0.25">
      <c r="C82" s="394" t="s">
        <v>821</v>
      </c>
      <c r="D82" s="371">
        <v>300</v>
      </c>
      <c r="E82" s="372"/>
      <c r="R82" s="374"/>
      <c r="U82" s="396">
        <v>111.84</v>
      </c>
      <c r="AG82" s="374">
        <f t="shared" si="14"/>
        <v>111.84</v>
      </c>
      <c r="AH82" s="376"/>
      <c r="AJ82" s="373"/>
      <c r="AK82" s="373"/>
    </row>
    <row r="83" spans="1:46" x14ac:dyDescent="0.25">
      <c r="C83" s="370" t="s">
        <v>828</v>
      </c>
      <c r="D83" s="371">
        <v>160000</v>
      </c>
      <c r="E83" s="372">
        <v>160000</v>
      </c>
      <c r="R83" s="374">
        <f>+SUM(E83:Q83)</f>
        <v>160000</v>
      </c>
      <c r="T83" s="373">
        <v>50381.16</v>
      </c>
      <c r="U83" s="396"/>
      <c r="W83" s="373">
        <v>60500</v>
      </c>
      <c r="AG83" s="374">
        <f t="shared" si="14"/>
        <v>110881.16</v>
      </c>
      <c r="AH83" s="376">
        <f>+S83-AG83</f>
        <v>-110881.16</v>
      </c>
      <c r="AJ83" s="373"/>
      <c r="AK83" s="373"/>
    </row>
    <row r="84" spans="1:46" x14ac:dyDescent="0.25">
      <c r="C84" s="394" t="s">
        <v>824</v>
      </c>
      <c r="D84" s="371">
        <v>120</v>
      </c>
      <c r="E84" s="372"/>
      <c r="R84" s="374"/>
      <c r="U84" s="396">
        <v>55.99</v>
      </c>
      <c r="AG84" s="374">
        <f t="shared" si="14"/>
        <v>55.99</v>
      </c>
      <c r="AH84" s="376"/>
      <c r="AJ84" s="373"/>
      <c r="AK84" s="373"/>
    </row>
    <row r="85" spans="1:46" x14ac:dyDescent="0.25">
      <c r="C85" s="370" t="s">
        <v>795</v>
      </c>
      <c r="D85" s="371">
        <v>30812</v>
      </c>
      <c r="E85" s="372">
        <v>30812</v>
      </c>
      <c r="R85" s="374">
        <f>+SUM(E85:Q85)</f>
        <v>30812</v>
      </c>
      <c r="T85" s="373">
        <v>30812</v>
      </c>
      <c r="U85" s="396"/>
      <c r="AG85" s="374">
        <f t="shared" si="14"/>
        <v>30812</v>
      </c>
      <c r="AH85" s="376">
        <f>+S85-AG85</f>
        <v>-30812</v>
      </c>
      <c r="AJ85" s="373"/>
      <c r="AK85" s="373"/>
    </row>
    <row r="86" spans="1:46" x14ac:dyDescent="0.25">
      <c r="C86" s="370" t="s">
        <v>825</v>
      </c>
      <c r="D86" s="380">
        <v>190811</v>
      </c>
      <c r="E86" s="372">
        <v>190811</v>
      </c>
      <c r="R86" s="374">
        <f>+SUM(E86:Q86)</f>
        <v>190811</v>
      </c>
      <c r="U86" s="396">
        <v>158848.85</v>
      </c>
      <c r="AG86" s="374">
        <f t="shared" si="14"/>
        <v>158848.85</v>
      </c>
      <c r="AH86" s="376"/>
      <c r="AJ86" s="373"/>
      <c r="AK86" s="373"/>
    </row>
    <row r="87" spans="1:46" x14ac:dyDescent="0.25">
      <c r="C87" s="394" t="s">
        <v>808</v>
      </c>
      <c r="D87" s="380">
        <f>+D81+D82</f>
        <v>60396.61</v>
      </c>
      <c r="E87" s="372">
        <v>190812</v>
      </c>
      <c r="R87" s="374">
        <f>+SUM(E87:Q87)</f>
        <v>190812</v>
      </c>
      <c r="U87" s="396">
        <v>43108.639999999999</v>
      </c>
      <c r="V87" s="373">
        <v>1927217.39</v>
      </c>
      <c r="AG87" s="374">
        <f t="shared" si="14"/>
        <v>1970326.0299999998</v>
      </c>
      <c r="AH87" s="376">
        <f>+S87-AG87</f>
        <v>-1970326.0299999998</v>
      </c>
      <c r="AJ87" s="373"/>
      <c r="AK87" s="373"/>
    </row>
    <row r="88" spans="1:46" ht="2.4500000000000002" customHeight="1" x14ac:dyDescent="0.25">
      <c r="D88" s="373">
        <v>0</v>
      </c>
    </row>
    <row r="89" spans="1:46" x14ac:dyDescent="0.25">
      <c r="B89" s="487" t="s">
        <v>784</v>
      </c>
      <c r="C89" s="487"/>
      <c r="D89" s="356" t="s">
        <v>764</v>
      </c>
      <c r="E89" s="356" t="s">
        <v>829</v>
      </c>
      <c r="F89" s="356" t="s">
        <v>830</v>
      </c>
      <c r="G89" s="356" t="s">
        <v>831</v>
      </c>
      <c r="H89" s="356" t="s">
        <v>832</v>
      </c>
      <c r="I89" s="356"/>
      <c r="J89" s="356"/>
      <c r="K89" s="356"/>
      <c r="L89" s="356"/>
      <c r="M89" s="356"/>
      <c r="N89" s="356"/>
      <c r="O89" s="356"/>
      <c r="P89" s="356"/>
      <c r="Q89" s="356"/>
      <c r="R89" s="357" t="s">
        <v>609</v>
      </c>
      <c r="S89" s="358"/>
      <c r="T89" s="356" t="s">
        <v>829</v>
      </c>
      <c r="U89" s="356" t="s">
        <v>830</v>
      </c>
      <c r="V89" s="356" t="s">
        <v>831</v>
      </c>
      <c r="W89" s="356" t="s">
        <v>832</v>
      </c>
      <c r="X89" s="356"/>
      <c r="Y89" s="356"/>
      <c r="Z89" s="356"/>
      <c r="AA89" s="356"/>
      <c r="AB89" s="356"/>
      <c r="AC89" s="356"/>
      <c r="AD89" s="356"/>
      <c r="AE89" s="356"/>
      <c r="AF89" s="356"/>
      <c r="AG89" s="357" t="s">
        <v>609</v>
      </c>
      <c r="AH89" s="360"/>
      <c r="AJ89" s="373"/>
      <c r="AK89" s="373"/>
    </row>
    <row r="90" spans="1:46" s="366" customFormat="1" ht="25.15" customHeight="1" x14ac:dyDescent="0.2">
      <c r="A90" s="398"/>
      <c r="B90" s="485" t="s">
        <v>833</v>
      </c>
      <c r="C90" s="485"/>
      <c r="D90" s="382">
        <v>39900</v>
      </c>
      <c r="E90" s="363">
        <v>231</v>
      </c>
      <c r="F90" s="363">
        <v>232</v>
      </c>
      <c r="G90" s="363">
        <v>234</v>
      </c>
      <c r="H90" s="363">
        <v>235</v>
      </c>
      <c r="I90" s="363"/>
      <c r="J90" s="363"/>
      <c r="K90" s="363"/>
      <c r="L90" s="363"/>
      <c r="M90" s="363"/>
      <c r="N90" s="363"/>
      <c r="O90" s="363"/>
      <c r="P90" s="363"/>
      <c r="Q90" s="363"/>
      <c r="R90" s="360"/>
      <c r="S90" s="358"/>
      <c r="T90" s="363">
        <v>231</v>
      </c>
      <c r="U90" s="363">
        <v>232</v>
      </c>
      <c r="V90" s="363">
        <v>234</v>
      </c>
      <c r="W90" s="363">
        <v>235</v>
      </c>
      <c r="X90" s="363"/>
      <c r="Y90" s="363"/>
      <c r="Z90" s="363"/>
      <c r="AA90" s="363"/>
      <c r="AB90" s="363"/>
      <c r="AC90" s="363"/>
      <c r="AD90" s="363"/>
      <c r="AE90" s="363"/>
      <c r="AF90" s="363"/>
      <c r="AG90" s="360"/>
      <c r="AH90" s="360"/>
      <c r="AI90" s="360"/>
      <c r="AJ90" s="360"/>
      <c r="AK90" s="360"/>
      <c r="AL90" s="383"/>
      <c r="AM90" s="383"/>
      <c r="AN90" s="383"/>
      <c r="AO90" s="353"/>
      <c r="AP90" s="353"/>
      <c r="AQ90" s="353"/>
      <c r="AR90" s="353"/>
      <c r="AS90" s="353"/>
      <c r="AT90" s="353"/>
    </row>
    <row r="91" spans="1:46" x14ac:dyDescent="0.25">
      <c r="C91" s="370" t="s">
        <v>768</v>
      </c>
      <c r="D91" s="371">
        <v>-3474201</v>
      </c>
      <c r="R91" s="374">
        <f t="shared" ref="R91:R96" si="15">+SUM(E91:Q91)</f>
        <v>0</v>
      </c>
      <c r="AG91" s="374">
        <f t="shared" ref="AG91:AG96" si="16">+SUM(T91:AE91)</f>
        <v>0</v>
      </c>
      <c r="AH91" s="376">
        <f t="shared" ref="AH91:AH96" si="17">+S91-AG91</f>
        <v>0</v>
      </c>
      <c r="AJ91" s="373"/>
      <c r="AK91" s="373"/>
    </row>
    <row r="92" spans="1:46" x14ac:dyDescent="0.25">
      <c r="C92" s="370" t="s">
        <v>834</v>
      </c>
      <c r="D92" s="371">
        <v>2247327</v>
      </c>
      <c r="E92" s="373">
        <v>423807</v>
      </c>
      <c r="F92" s="373">
        <v>323520</v>
      </c>
      <c r="H92" s="373">
        <v>1875000</v>
      </c>
      <c r="R92" s="374">
        <f t="shared" si="15"/>
        <v>2622327</v>
      </c>
      <c r="T92" s="373">
        <v>0</v>
      </c>
      <c r="U92" s="373">
        <v>0</v>
      </c>
      <c r="W92" s="373">
        <v>0</v>
      </c>
      <c r="AG92" s="374">
        <f t="shared" si="16"/>
        <v>0</v>
      </c>
      <c r="AH92" s="376">
        <f t="shared" si="17"/>
        <v>0</v>
      </c>
      <c r="AJ92" s="373"/>
      <c r="AK92" s="373"/>
    </row>
    <row r="93" spans="1:46" x14ac:dyDescent="0.25">
      <c r="C93" s="370" t="s">
        <v>835</v>
      </c>
      <c r="D93" s="399">
        <v>252308</v>
      </c>
      <c r="E93" s="373">
        <v>252308</v>
      </c>
      <c r="R93" s="374">
        <f t="shared" si="15"/>
        <v>252308</v>
      </c>
      <c r="T93" s="373">
        <v>0</v>
      </c>
      <c r="AG93" s="374">
        <f t="shared" si="16"/>
        <v>0</v>
      </c>
      <c r="AH93" s="376">
        <f t="shared" si="17"/>
        <v>0</v>
      </c>
    </row>
    <row r="94" spans="1:46" x14ac:dyDescent="0.25">
      <c r="C94" s="370" t="s">
        <v>769</v>
      </c>
      <c r="D94" s="399">
        <v>3474202</v>
      </c>
      <c r="R94" s="374">
        <f t="shared" si="15"/>
        <v>0</v>
      </c>
      <c r="X94" s="373">
        <v>3474202</v>
      </c>
      <c r="AG94" s="374">
        <f t="shared" si="16"/>
        <v>3474202</v>
      </c>
      <c r="AH94" s="376">
        <f t="shared" si="17"/>
        <v>-3474202</v>
      </c>
    </row>
    <row r="95" spans="1:46" x14ac:dyDescent="0.25">
      <c r="C95" s="370" t="s">
        <v>795</v>
      </c>
      <c r="D95" s="399">
        <v>1516106</v>
      </c>
      <c r="G95" s="373">
        <v>1141106</v>
      </c>
      <c r="R95" s="374">
        <f t="shared" si="15"/>
        <v>1141106</v>
      </c>
      <c r="V95" s="373">
        <v>1141106</v>
      </c>
      <c r="AG95" s="374">
        <f t="shared" si="16"/>
        <v>1141106</v>
      </c>
      <c r="AH95" s="376">
        <f t="shared" si="17"/>
        <v>-1141106</v>
      </c>
    </row>
    <row r="96" spans="1:46" x14ac:dyDescent="0.25">
      <c r="C96" s="370" t="s">
        <v>798</v>
      </c>
      <c r="D96" s="373">
        <v>4015741</v>
      </c>
      <c r="E96" s="373">
        <v>676115</v>
      </c>
      <c r="F96" s="373">
        <v>323520</v>
      </c>
      <c r="G96" s="373">
        <v>1141106</v>
      </c>
      <c r="H96" s="373">
        <v>1875000</v>
      </c>
      <c r="R96" s="374">
        <f t="shared" si="15"/>
        <v>4015741</v>
      </c>
      <c r="T96" s="373">
        <v>77056.899999999994</v>
      </c>
      <c r="U96" s="373">
        <v>0</v>
      </c>
      <c r="V96" s="373">
        <v>331154.78000000003</v>
      </c>
      <c r="W96" s="373">
        <v>65584.77</v>
      </c>
      <c r="AG96" s="374">
        <f t="shared" si="16"/>
        <v>473796.45000000007</v>
      </c>
      <c r="AH96" s="376">
        <f t="shared" si="17"/>
        <v>-473796.45000000007</v>
      </c>
    </row>
    <row r="97" spans="1:46" ht="2.65" customHeight="1" x14ac:dyDescent="0.25"/>
    <row r="98" spans="1:46" x14ac:dyDescent="0.25">
      <c r="B98" s="487" t="s">
        <v>784</v>
      </c>
      <c r="C98" s="487"/>
      <c r="D98" s="356" t="s">
        <v>764</v>
      </c>
      <c r="E98" s="356" t="s">
        <v>836</v>
      </c>
      <c r="F98" s="356" t="s">
        <v>586</v>
      </c>
      <c r="G98" s="356" t="s">
        <v>837</v>
      </c>
      <c r="H98" s="356" t="s">
        <v>838</v>
      </c>
      <c r="I98" s="356" t="s">
        <v>839</v>
      </c>
      <c r="J98" s="356" t="s">
        <v>840</v>
      </c>
      <c r="K98" s="356" t="s">
        <v>841</v>
      </c>
      <c r="L98" s="356" t="s">
        <v>842</v>
      </c>
      <c r="M98" s="356" t="s">
        <v>843</v>
      </c>
      <c r="N98" s="356" t="s">
        <v>844</v>
      </c>
      <c r="O98" s="356" t="s">
        <v>845</v>
      </c>
      <c r="P98" s="356" t="s">
        <v>846</v>
      </c>
      <c r="Q98" s="356" t="s">
        <v>847</v>
      </c>
      <c r="R98" s="357" t="s">
        <v>609</v>
      </c>
      <c r="S98" s="358"/>
      <c r="T98" s="356" t="s">
        <v>836</v>
      </c>
      <c r="U98" s="356" t="s">
        <v>586</v>
      </c>
      <c r="V98" s="356" t="s">
        <v>837</v>
      </c>
      <c r="W98" s="356" t="s">
        <v>838</v>
      </c>
      <c r="X98" s="356" t="s">
        <v>839</v>
      </c>
      <c r="Y98" s="356" t="s">
        <v>840</v>
      </c>
      <c r="Z98" s="356" t="s">
        <v>841</v>
      </c>
      <c r="AA98" s="356" t="s">
        <v>843</v>
      </c>
      <c r="AB98" s="356" t="s">
        <v>844</v>
      </c>
      <c r="AC98" s="356" t="s">
        <v>845</v>
      </c>
      <c r="AD98" s="356" t="s">
        <v>846</v>
      </c>
      <c r="AE98" s="356" t="s">
        <v>847</v>
      </c>
      <c r="AF98" s="356" t="s">
        <v>790</v>
      </c>
      <c r="AG98" s="357" t="s">
        <v>609</v>
      </c>
      <c r="AH98" s="360"/>
      <c r="AJ98" s="373"/>
      <c r="AK98" s="373"/>
    </row>
    <row r="99" spans="1:46" s="366" customFormat="1" ht="25.15" customHeight="1" x14ac:dyDescent="0.2">
      <c r="A99" s="361"/>
      <c r="B99" s="485" t="s">
        <v>848</v>
      </c>
      <c r="C99" s="485"/>
      <c r="D99" s="382">
        <v>30800</v>
      </c>
      <c r="E99" s="379">
        <v>201</v>
      </c>
      <c r="F99" s="379">
        <v>215</v>
      </c>
      <c r="G99" s="363">
        <v>226</v>
      </c>
      <c r="H99" s="363">
        <v>230</v>
      </c>
      <c r="I99" s="363">
        <v>233</v>
      </c>
      <c r="J99" s="363">
        <v>276</v>
      </c>
      <c r="K99" s="363">
        <v>290</v>
      </c>
      <c r="L99" s="363">
        <v>295</v>
      </c>
      <c r="M99" s="363">
        <v>298</v>
      </c>
      <c r="N99" s="363">
        <v>303</v>
      </c>
      <c r="O99" s="363">
        <v>523</v>
      </c>
      <c r="P99" s="363">
        <v>524</v>
      </c>
      <c r="Q99" s="363">
        <v>561</v>
      </c>
      <c r="R99" s="360"/>
      <c r="S99" s="358"/>
      <c r="T99" s="379">
        <v>201</v>
      </c>
      <c r="U99" s="379">
        <v>215</v>
      </c>
      <c r="V99" s="363">
        <v>226</v>
      </c>
      <c r="W99" s="363">
        <v>230</v>
      </c>
      <c r="X99" s="363">
        <v>233</v>
      </c>
      <c r="Y99" s="363">
        <v>276</v>
      </c>
      <c r="Z99" s="363">
        <v>290</v>
      </c>
      <c r="AA99" s="363">
        <v>298</v>
      </c>
      <c r="AB99" s="363">
        <v>303</v>
      </c>
      <c r="AC99" s="363">
        <v>523</v>
      </c>
      <c r="AD99" s="363">
        <v>524</v>
      </c>
      <c r="AE99" s="363">
        <v>561</v>
      </c>
      <c r="AF99" s="363"/>
      <c r="AG99" s="360"/>
      <c r="AH99" s="360"/>
      <c r="AI99" s="360"/>
      <c r="AJ99" s="360"/>
      <c r="AK99" s="360"/>
      <c r="AL99" s="383"/>
      <c r="AM99" s="383"/>
      <c r="AN99" s="383"/>
      <c r="AO99" s="353"/>
      <c r="AP99" s="353"/>
      <c r="AQ99" s="353"/>
      <c r="AR99" s="353"/>
      <c r="AS99" s="353"/>
      <c r="AT99" s="353"/>
    </row>
    <row r="100" spans="1:46" x14ac:dyDescent="0.25">
      <c r="C100" s="370" t="s">
        <v>768</v>
      </c>
      <c r="D100" s="371">
        <v>-178248.58</v>
      </c>
      <c r="L100" s="373">
        <v>12500</v>
      </c>
      <c r="R100" s="374">
        <f t="shared" ref="R100:R108" si="18">+SUM(E100:Q100)</f>
        <v>12500</v>
      </c>
      <c r="AG100" s="374">
        <f>+SUM(T100:AF100)</f>
        <v>0</v>
      </c>
      <c r="AH100" s="376">
        <f t="shared" ref="AH100:AH107" si="19">+S100-AG100</f>
        <v>0</v>
      </c>
      <c r="AJ100" s="373"/>
      <c r="AK100" s="373"/>
    </row>
    <row r="101" spans="1:46" x14ac:dyDescent="0.25">
      <c r="C101" s="370" t="s">
        <v>794</v>
      </c>
      <c r="D101" s="371">
        <v>6453340</v>
      </c>
      <c r="E101" s="373">
        <v>80000</v>
      </c>
      <c r="F101" s="373">
        <v>50000</v>
      </c>
      <c r="G101" s="373">
        <v>1500000</v>
      </c>
      <c r="H101" s="373">
        <v>150000</v>
      </c>
      <c r="I101" s="373">
        <v>1235000</v>
      </c>
      <c r="J101" s="373">
        <v>2500</v>
      </c>
      <c r="K101" s="373">
        <v>1533500</v>
      </c>
      <c r="L101" s="373">
        <v>37500</v>
      </c>
      <c r="M101" s="373">
        <v>650000</v>
      </c>
      <c r="N101" s="373">
        <v>70000</v>
      </c>
      <c r="O101" s="373">
        <v>100000</v>
      </c>
      <c r="P101" s="373">
        <v>1170000</v>
      </c>
      <c r="Q101" s="373">
        <v>4840</v>
      </c>
      <c r="R101" s="374">
        <f t="shared" si="18"/>
        <v>6583340</v>
      </c>
      <c r="T101" s="373">
        <v>0</v>
      </c>
      <c r="U101" s="373">
        <v>0</v>
      </c>
      <c r="V101" s="373">
        <v>0</v>
      </c>
      <c r="W101" s="373">
        <v>0</v>
      </c>
      <c r="X101" s="373">
        <v>0</v>
      </c>
      <c r="Y101" s="373">
        <v>0</v>
      </c>
      <c r="Z101" s="373">
        <v>0</v>
      </c>
      <c r="AA101" s="373">
        <v>0</v>
      </c>
      <c r="AB101" s="373">
        <v>0</v>
      </c>
      <c r="AC101" s="373">
        <v>100000</v>
      </c>
      <c r="AD101" s="373">
        <v>0</v>
      </c>
      <c r="AE101" s="373">
        <v>2401.3200000000002</v>
      </c>
      <c r="AF101" s="373">
        <v>580237.87</v>
      </c>
      <c r="AG101" s="374">
        <f t="shared" ref="AG101:AG107" si="20">+SUM(T101:AF101)</f>
        <v>682639.19</v>
      </c>
      <c r="AH101" s="376">
        <f t="shared" si="19"/>
        <v>-682639.19</v>
      </c>
      <c r="AJ101" s="373"/>
      <c r="AK101" s="373"/>
    </row>
    <row r="102" spans="1:46" x14ac:dyDescent="0.25">
      <c r="C102" s="370" t="s">
        <v>849</v>
      </c>
      <c r="D102" s="377">
        <v>130000</v>
      </c>
      <c r="P102" s="373">
        <v>130000</v>
      </c>
      <c r="R102" s="374">
        <f t="shared" si="18"/>
        <v>130000</v>
      </c>
      <c r="AD102" s="373">
        <v>0</v>
      </c>
      <c r="AG102" s="374">
        <f t="shared" si="20"/>
        <v>0</v>
      </c>
      <c r="AH102" s="376">
        <f t="shared" si="19"/>
        <v>0</v>
      </c>
      <c r="AJ102" s="373"/>
      <c r="AK102" s="373"/>
    </row>
    <row r="103" spans="1:46" x14ac:dyDescent="0.25">
      <c r="C103" s="370" t="s">
        <v>795</v>
      </c>
      <c r="D103" s="377">
        <v>195000</v>
      </c>
      <c r="I103" s="373">
        <v>65000</v>
      </c>
      <c r="P103" s="373">
        <v>130000</v>
      </c>
      <c r="R103" s="374">
        <f t="shared" si="18"/>
        <v>195000</v>
      </c>
      <c r="X103" s="373">
        <v>0</v>
      </c>
      <c r="AD103" s="373">
        <v>0</v>
      </c>
      <c r="AG103" s="374">
        <f t="shared" si="20"/>
        <v>0</v>
      </c>
      <c r="AH103" s="376">
        <f t="shared" si="19"/>
        <v>0</v>
      </c>
      <c r="AJ103" s="373"/>
      <c r="AK103" s="373"/>
    </row>
    <row r="104" spans="1:46" x14ac:dyDescent="0.25">
      <c r="C104" s="370" t="s">
        <v>850</v>
      </c>
      <c r="D104" s="377">
        <v>375000</v>
      </c>
      <c r="R104" s="374">
        <f t="shared" si="18"/>
        <v>0</v>
      </c>
      <c r="AG104" s="374">
        <f t="shared" si="20"/>
        <v>0</v>
      </c>
      <c r="AH104" s="376">
        <f t="shared" si="19"/>
        <v>0</v>
      </c>
      <c r="AJ104" s="373"/>
      <c r="AK104" s="373"/>
    </row>
    <row r="105" spans="1:46" x14ac:dyDescent="0.25">
      <c r="C105" s="370" t="s">
        <v>803</v>
      </c>
      <c r="D105" s="377">
        <v>4840</v>
      </c>
      <c r="Q105" s="373">
        <v>4840</v>
      </c>
      <c r="R105" s="374">
        <f t="shared" si="18"/>
        <v>4840</v>
      </c>
      <c r="AE105" s="373">
        <v>490.74</v>
      </c>
      <c r="AG105" s="374">
        <f t="shared" si="20"/>
        <v>490.74</v>
      </c>
      <c r="AH105" s="376">
        <f t="shared" si="19"/>
        <v>-490.74</v>
      </c>
      <c r="AJ105" s="373"/>
      <c r="AK105" s="373"/>
    </row>
    <row r="106" spans="1:46" x14ac:dyDescent="0.25">
      <c r="C106" s="370" t="s">
        <v>781</v>
      </c>
      <c r="D106" s="377">
        <v>150000</v>
      </c>
      <c r="E106" s="373">
        <v>80000</v>
      </c>
      <c r="F106" s="373">
        <v>50000</v>
      </c>
      <c r="H106" s="373">
        <v>150000</v>
      </c>
      <c r="R106" s="374">
        <f t="shared" si="18"/>
        <v>280000</v>
      </c>
      <c r="T106" s="373">
        <v>0</v>
      </c>
      <c r="U106" s="373">
        <v>0</v>
      </c>
      <c r="W106" s="373">
        <v>0</v>
      </c>
      <c r="AG106" s="374">
        <f t="shared" si="20"/>
        <v>0</v>
      </c>
      <c r="AH106" s="376">
        <f t="shared" si="19"/>
        <v>0</v>
      </c>
      <c r="AJ106" s="373"/>
      <c r="AK106" s="373"/>
    </row>
    <row r="107" spans="1:46" x14ac:dyDescent="0.25">
      <c r="C107" s="370" t="s">
        <v>798</v>
      </c>
      <c r="D107" s="377">
        <v>6261000</v>
      </c>
      <c r="G107" s="373">
        <v>1500000</v>
      </c>
      <c r="I107" s="373">
        <v>1300000</v>
      </c>
      <c r="J107" s="373">
        <v>2500</v>
      </c>
      <c r="K107" s="373">
        <v>1533500</v>
      </c>
      <c r="L107" s="373">
        <v>50000</v>
      </c>
      <c r="M107" s="373">
        <v>650000</v>
      </c>
      <c r="N107" s="373">
        <v>70000</v>
      </c>
      <c r="O107" s="373">
        <v>100000</v>
      </c>
      <c r="P107" s="373">
        <v>1430000</v>
      </c>
      <c r="R107" s="374">
        <f t="shared" si="18"/>
        <v>6636000</v>
      </c>
      <c r="V107" s="373">
        <v>0</v>
      </c>
      <c r="X107" s="373">
        <v>0</v>
      </c>
      <c r="Y107" s="373">
        <v>0</v>
      </c>
      <c r="Z107" s="373">
        <v>276596.21000000002</v>
      </c>
      <c r="AA107" s="373">
        <v>154397.19</v>
      </c>
      <c r="AB107" s="373">
        <v>70000</v>
      </c>
      <c r="AC107" s="373">
        <v>100000</v>
      </c>
      <c r="AD107" s="373">
        <v>0</v>
      </c>
      <c r="AG107" s="374">
        <f t="shared" si="20"/>
        <v>600993.4</v>
      </c>
      <c r="AH107" s="376">
        <f t="shared" si="19"/>
        <v>-600993.4</v>
      </c>
      <c r="AJ107" s="373"/>
      <c r="AK107" s="373"/>
    </row>
    <row r="108" spans="1:46" ht="2.65" customHeight="1" x14ac:dyDescent="0.25">
      <c r="C108" s="370"/>
      <c r="D108" s="377"/>
      <c r="R108" s="372">
        <f t="shared" si="18"/>
        <v>0</v>
      </c>
      <c r="AG108" s="372">
        <f>+SUM(T108:AE108)</f>
        <v>0</v>
      </c>
      <c r="AJ108" s="373"/>
      <c r="AK108" s="373"/>
    </row>
    <row r="109" spans="1:46" x14ac:dyDescent="0.25">
      <c r="B109" s="487" t="s">
        <v>784</v>
      </c>
      <c r="C109" s="487"/>
      <c r="D109" s="356" t="s">
        <v>764</v>
      </c>
      <c r="E109" s="356" t="s">
        <v>453</v>
      </c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7" t="s">
        <v>609</v>
      </c>
      <c r="S109" s="358"/>
      <c r="T109" s="356" t="s">
        <v>453</v>
      </c>
      <c r="U109" s="356"/>
      <c r="V109" s="356"/>
      <c r="W109" s="356"/>
      <c r="X109" s="356"/>
      <c r="Y109" s="356"/>
      <c r="Z109" s="356"/>
      <c r="AA109" s="356"/>
      <c r="AB109" s="356"/>
      <c r="AC109" s="356"/>
      <c r="AD109" s="356"/>
      <c r="AE109" s="356"/>
      <c r="AF109" s="356"/>
      <c r="AG109" s="357" t="s">
        <v>609</v>
      </c>
      <c r="AH109" s="360"/>
      <c r="AJ109" s="373"/>
      <c r="AK109" s="373"/>
    </row>
    <row r="110" spans="1:46" s="366" customFormat="1" ht="25.15" customHeight="1" x14ac:dyDescent="0.2">
      <c r="A110" s="361"/>
      <c r="B110" s="485" t="s">
        <v>851</v>
      </c>
      <c r="C110" s="485"/>
      <c r="D110" s="382">
        <v>30700</v>
      </c>
      <c r="E110" s="363">
        <v>237</v>
      </c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0"/>
      <c r="S110" s="358"/>
      <c r="T110" s="363">
        <v>237</v>
      </c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0"/>
      <c r="AH110" s="360"/>
      <c r="AI110" s="360"/>
      <c r="AJ110" s="360"/>
      <c r="AK110" s="360"/>
      <c r="AL110" s="383"/>
      <c r="AM110" s="383"/>
      <c r="AN110" s="383"/>
      <c r="AO110" s="353"/>
      <c r="AP110" s="353"/>
      <c r="AQ110" s="353"/>
      <c r="AR110" s="353"/>
      <c r="AS110" s="353"/>
      <c r="AT110" s="353"/>
    </row>
    <row r="111" spans="1:46" x14ac:dyDescent="0.25">
      <c r="C111" s="370" t="s">
        <v>794</v>
      </c>
      <c r="D111" s="371">
        <v>405000</v>
      </c>
      <c r="E111" s="373">
        <v>405000</v>
      </c>
      <c r="R111" s="374">
        <f>+SUM(E111:Q111)</f>
        <v>405000</v>
      </c>
      <c r="T111" s="373">
        <v>0</v>
      </c>
      <c r="AG111" s="374">
        <f>+SUM(T111:AE111)</f>
        <v>0</v>
      </c>
      <c r="AH111" s="376">
        <f>+S111-AG111</f>
        <v>0</v>
      </c>
      <c r="AJ111" s="373"/>
      <c r="AK111" s="373"/>
    </row>
    <row r="112" spans="1:46" x14ac:dyDescent="0.25">
      <c r="C112" s="370" t="s">
        <v>835</v>
      </c>
      <c r="D112" s="371">
        <v>45000</v>
      </c>
      <c r="E112" s="373">
        <v>45000</v>
      </c>
      <c r="R112" s="374">
        <f>+SUM(E112:Q112)</f>
        <v>45000</v>
      </c>
      <c r="T112" s="373">
        <v>0</v>
      </c>
      <c r="AG112" s="374">
        <f>+SUM(T112:AE112)</f>
        <v>0</v>
      </c>
      <c r="AH112" s="376">
        <f>+S112-AG112</f>
        <v>0</v>
      </c>
      <c r="AJ112" s="373"/>
      <c r="AK112" s="373"/>
    </row>
    <row r="113" spans="1:46" x14ac:dyDescent="0.25">
      <c r="C113" s="370" t="s">
        <v>798</v>
      </c>
      <c r="D113" s="373">
        <v>450000</v>
      </c>
      <c r="E113" s="373">
        <v>450000</v>
      </c>
      <c r="R113" s="374">
        <f>+SUM(E113:Q113)</f>
        <v>450000</v>
      </c>
      <c r="T113" s="373">
        <v>0</v>
      </c>
      <c r="AG113" s="374">
        <f>+SUM(T113:AE113)</f>
        <v>0</v>
      </c>
      <c r="AH113" s="376">
        <f>+S113-AG113</f>
        <v>0</v>
      </c>
    </row>
    <row r="114" spans="1:46" s="368" customFormat="1" ht="2.65" customHeight="1" x14ac:dyDescent="0.25"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5"/>
      <c r="T114" s="372"/>
      <c r="U114" s="372"/>
      <c r="V114" s="372"/>
      <c r="W114" s="372"/>
      <c r="X114" s="372"/>
      <c r="Y114" s="372"/>
      <c r="Z114" s="372"/>
      <c r="AA114" s="372"/>
      <c r="AB114" s="372"/>
      <c r="AC114" s="372"/>
      <c r="AD114" s="372"/>
      <c r="AE114" s="372"/>
      <c r="AF114" s="372"/>
      <c r="AG114" s="372"/>
      <c r="AH114" s="375"/>
      <c r="AI114" s="372"/>
    </row>
    <row r="115" spans="1:46" x14ac:dyDescent="0.25">
      <c r="B115" s="487" t="s">
        <v>784</v>
      </c>
      <c r="C115" s="487"/>
      <c r="D115" s="356" t="s">
        <v>764</v>
      </c>
      <c r="E115" s="356" t="s">
        <v>852</v>
      </c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7" t="s">
        <v>609</v>
      </c>
      <c r="S115" s="358"/>
      <c r="T115" s="356" t="s">
        <v>852</v>
      </c>
      <c r="U115" s="356" t="s">
        <v>766</v>
      </c>
      <c r="V115" s="356"/>
      <c r="W115" s="356"/>
      <c r="X115" s="356"/>
      <c r="Y115" s="356"/>
      <c r="Z115" s="356"/>
      <c r="AA115" s="356"/>
      <c r="AB115" s="356"/>
      <c r="AC115" s="356"/>
      <c r="AD115" s="356"/>
      <c r="AE115" s="356"/>
      <c r="AF115" s="356"/>
      <c r="AG115" s="357" t="s">
        <v>609</v>
      </c>
      <c r="AH115" s="360"/>
      <c r="AJ115" s="373"/>
      <c r="AK115" s="373"/>
    </row>
    <row r="116" spans="1:46" s="366" customFormat="1" ht="25.15" customHeight="1" x14ac:dyDescent="0.2">
      <c r="A116" s="361"/>
      <c r="B116" s="485" t="s">
        <v>853</v>
      </c>
      <c r="C116" s="485"/>
      <c r="D116" s="382">
        <v>30200</v>
      </c>
      <c r="E116" s="363">
        <v>291</v>
      </c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0"/>
      <c r="S116" s="358"/>
      <c r="T116" s="363">
        <v>291</v>
      </c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0"/>
      <c r="AH116" s="360"/>
      <c r="AI116" s="360"/>
      <c r="AJ116" s="360"/>
      <c r="AK116" s="360"/>
      <c r="AL116" s="383"/>
      <c r="AM116" s="383"/>
      <c r="AN116" s="383"/>
      <c r="AO116" s="353"/>
      <c r="AP116" s="353"/>
      <c r="AQ116" s="353"/>
      <c r="AR116" s="353"/>
      <c r="AS116" s="353"/>
      <c r="AT116" s="353"/>
    </row>
    <row r="117" spans="1:46" x14ac:dyDescent="0.25">
      <c r="C117" s="370" t="s">
        <v>768</v>
      </c>
      <c r="D117" s="371"/>
      <c r="E117" s="373">
        <v>75000</v>
      </c>
      <c r="R117" s="374">
        <f>+SUM(E117:Q117)</f>
        <v>75000</v>
      </c>
      <c r="T117" s="373">
        <v>75000</v>
      </c>
      <c r="AG117" s="374">
        <f>+SUM(T117:AE117)</f>
        <v>75000</v>
      </c>
      <c r="AH117" s="376">
        <f>+S117-AG117</f>
        <v>-75000</v>
      </c>
      <c r="AJ117" s="373"/>
      <c r="AK117" s="373"/>
    </row>
    <row r="118" spans="1:46" x14ac:dyDescent="0.25">
      <c r="C118" s="370" t="s">
        <v>854</v>
      </c>
      <c r="D118" s="371">
        <v>825000</v>
      </c>
      <c r="E118" s="373">
        <v>744375</v>
      </c>
      <c r="R118" s="374">
        <f>+SUM(E118:Q118)</f>
        <v>744375</v>
      </c>
      <c r="T118" s="373">
        <v>2812.5</v>
      </c>
      <c r="U118" s="373">
        <v>4496.6899999999996</v>
      </c>
      <c r="AG118" s="374">
        <f>+SUM(T118:AE118)</f>
        <v>7309.19</v>
      </c>
      <c r="AH118" s="376">
        <f>+S118-AG118</f>
        <v>-7309.19</v>
      </c>
      <c r="AJ118" s="373"/>
      <c r="AK118" s="373"/>
    </row>
    <row r="119" spans="1:46" x14ac:dyDescent="0.25">
      <c r="C119" s="370" t="s">
        <v>798</v>
      </c>
      <c r="D119" s="373">
        <v>825000</v>
      </c>
      <c r="E119" s="373">
        <v>819375</v>
      </c>
      <c r="R119" s="374">
        <f>+SUM(E119:Q119)</f>
        <v>819375</v>
      </c>
      <c r="T119" s="373">
        <v>-19981.79</v>
      </c>
      <c r="AG119" s="374">
        <f>+SUM(T119:AE119)</f>
        <v>-19981.79</v>
      </c>
      <c r="AH119" s="376">
        <f>+S119-AG119</f>
        <v>19981.79</v>
      </c>
    </row>
    <row r="120" spans="1:46" s="368" customFormat="1" ht="2.65" customHeight="1" x14ac:dyDescent="0.25"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5"/>
      <c r="T120" s="372"/>
      <c r="U120" s="372"/>
      <c r="V120" s="372"/>
      <c r="W120" s="372"/>
      <c r="X120" s="372"/>
      <c r="Y120" s="372"/>
      <c r="Z120" s="372"/>
      <c r="AA120" s="372"/>
      <c r="AB120" s="372"/>
      <c r="AC120" s="372"/>
      <c r="AD120" s="372"/>
      <c r="AE120" s="372"/>
      <c r="AF120" s="372"/>
      <c r="AG120" s="372"/>
      <c r="AH120" s="375"/>
      <c r="AI120" s="372"/>
    </row>
    <row r="121" spans="1:46" s="353" customFormat="1" ht="14.45" customHeight="1" x14ac:dyDescent="0.2">
      <c r="A121" s="352"/>
      <c r="C121" s="354"/>
      <c r="D121" s="355" t="s">
        <v>764</v>
      </c>
      <c r="E121" s="356" t="s">
        <v>855</v>
      </c>
      <c r="F121" s="356" t="s">
        <v>856</v>
      </c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7"/>
      <c r="S121" s="358"/>
      <c r="T121" s="356" t="s">
        <v>766</v>
      </c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7"/>
      <c r="AH121" s="360"/>
      <c r="AI121" s="357"/>
      <c r="AJ121" s="357"/>
      <c r="AK121" s="357"/>
    </row>
    <row r="122" spans="1:46" s="366" customFormat="1" ht="25.15" customHeight="1" x14ac:dyDescent="0.2">
      <c r="A122" s="361"/>
      <c r="B122" s="486" t="s">
        <v>857</v>
      </c>
      <c r="C122" s="486"/>
      <c r="D122" s="362">
        <v>30100</v>
      </c>
      <c r="E122" s="363">
        <v>520</v>
      </c>
      <c r="F122" s="363">
        <v>521</v>
      </c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5"/>
      <c r="T122" s="365"/>
      <c r="U122" s="365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3"/>
      <c r="AI122" s="367"/>
      <c r="AJ122" s="367"/>
      <c r="AK122" s="367"/>
    </row>
    <row r="123" spans="1:46" x14ac:dyDescent="0.25">
      <c r="C123" s="370" t="s">
        <v>858</v>
      </c>
      <c r="D123" s="371">
        <v>13923</v>
      </c>
      <c r="E123" s="372"/>
      <c r="R123" s="374">
        <f>+SUM(E123:Q123)</f>
        <v>0</v>
      </c>
      <c r="T123" s="372"/>
      <c r="U123" s="372"/>
      <c r="AG123" s="374">
        <f>+SUM(T123:AE123)</f>
        <v>0</v>
      </c>
      <c r="AH123" s="376">
        <f>+S123-AG123</f>
        <v>0</v>
      </c>
      <c r="AJ123" s="373"/>
      <c r="AK123" s="373"/>
    </row>
    <row r="124" spans="1:46" x14ac:dyDescent="0.25">
      <c r="C124" s="370" t="s">
        <v>859</v>
      </c>
      <c r="D124" s="371">
        <v>599</v>
      </c>
      <c r="E124" s="372">
        <v>400</v>
      </c>
      <c r="F124" s="373">
        <v>400</v>
      </c>
      <c r="R124" s="374">
        <f>+SUM(E124:Q124)</f>
        <v>800</v>
      </c>
      <c r="T124" s="372"/>
      <c r="U124" s="372"/>
      <c r="AG124" s="374">
        <f>+SUM(T124:AE124)</f>
        <v>0</v>
      </c>
      <c r="AH124" s="376">
        <f>+S124-AG124</f>
        <v>0</v>
      </c>
      <c r="AJ124" s="373"/>
      <c r="AK124" s="373"/>
    </row>
    <row r="125" spans="1:46" x14ac:dyDescent="0.25">
      <c r="C125" s="370" t="s">
        <v>860</v>
      </c>
      <c r="D125" s="371">
        <v>108003</v>
      </c>
      <c r="E125" s="372">
        <v>49711</v>
      </c>
      <c r="F125" s="373">
        <v>60096</v>
      </c>
      <c r="R125" s="374">
        <f>+SUM(E125:Q125)</f>
        <v>109807</v>
      </c>
      <c r="T125" s="372"/>
      <c r="U125" s="372"/>
      <c r="AG125" s="374">
        <f>+SUM(T125:AE125)</f>
        <v>0</v>
      </c>
      <c r="AH125" s="376">
        <f>+S125-AG125</f>
        <v>0</v>
      </c>
      <c r="AJ125" s="373"/>
      <c r="AK125" s="373"/>
    </row>
    <row r="126" spans="1:46" x14ac:dyDescent="0.25">
      <c r="C126" s="370" t="s">
        <v>798</v>
      </c>
      <c r="D126" s="380">
        <v>108601</v>
      </c>
      <c r="E126" s="372">
        <v>48311</v>
      </c>
      <c r="F126" s="373">
        <v>60496</v>
      </c>
      <c r="R126" s="374">
        <f>+SUM(E126:Q126)</f>
        <v>108807</v>
      </c>
      <c r="T126" s="372">
        <v>13923</v>
      </c>
      <c r="U126" s="372"/>
      <c r="AG126" s="374">
        <f>+SUM(T126:AE126)</f>
        <v>13923</v>
      </c>
      <c r="AH126" s="376">
        <f>+S126-AG126</f>
        <v>-13923</v>
      </c>
      <c r="AJ126" s="373"/>
      <c r="AK126" s="373"/>
    </row>
    <row r="127" spans="1:46" ht="2.65" customHeight="1" x14ac:dyDescent="0.25"/>
    <row r="128" spans="1:46" x14ac:dyDescent="0.25">
      <c r="B128" s="487" t="s">
        <v>784</v>
      </c>
      <c r="C128" s="487"/>
      <c r="D128" s="356" t="s">
        <v>764</v>
      </c>
      <c r="E128" s="356" t="s">
        <v>861</v>
      </c>
      <c r="F128" s="356" t="s">
        <v>862</v>
      </c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7" t="s">
        <v>609</v>
      </c>
      <c r="S128" s="358"/>
      <c r="T128" s="356" t="s">
        <v>861</v>
      </c>
      <c r="U128" s="356" t="s">
        <v>862</v>
      </c>
      <c r="V128" s="356" t="s">
        <v>766</v>
      </c>
      <c r="W128" s="356"/>
      <c r="X128" s="356"/>
      <c r="Y128" s="356"/>
      <c r="Z128" s="356"/>
      <c r="AA128" s="356"/>
      <c r="AB128" s="356"/>
      <c r="AC128" s="356"/>
      <c r="AD128" s="356"/>
      <c r="AE128" s="356"/>
      <c r="AF128" s="356"/>
      <c r="AG128" s="357" t="s">
        <v>609</v>
      </c>
      <c r="AH128" s="360"/>
      <c r="AJ128" s="373"/>
      <c r="AK128" s="373"/>
    </row>
    <row r="129" spans="1:46" s="366" customFormat="1" ht="25.15" customHeight="1" x14ac:dyDescent="0.2">
      <c r="A129" s="361"/>
      <c r="B129" s="485" t="s">
        <v>863</v>
      </c>
      <c r="C129" s="485"/>
      <c r="D129" s="382">
        <v>29900</v>
      </c>
      <c r="E129" s="363">
        <v>220</v>
      </c>
      <c r="F129" s="363">
        <v>224</v>
      </c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0"/>
      <c r="S129" s="358"/>
      <c r="T129" s="363">
        <v>220</v>
      </c>
      <c r="U129" s="363">
        <v>224</v>
      </c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0"/>
      <c r="AH129" s="360"/>
      <c r="AI129" s="360"/>
      <c r="AJ129" s="360"/>
      <c r="AK129" s="360"/>
      <c r="AL129" s="383"/>
      <c r="AM129" s="383"/>
      <c r="AN129" s="383"/>
      <c r="AO129" s="353"/>
      <c r="AP129" s="353"/>
      <c r="AQ129" s="353"/>
      <c r="AR129" s="353"/>
      <c r="AS129" s="353"/>
      <c r="AT129" s="353"/>
    </row>
    <row r="130" spans="1:46" x14ac:dyDescent="0.25">
      <c r="C130" s="370" t="s">
        <v>768</v>
      </c>
      <c r="D130" s="371">
        <v>7311.15</v>
      </c>
      <c r="R130" s="374">
        <f t="shared" ref="R130:R137" si="21">+SUM(E130:Q130)</f>
        <v>0</v>
      </c>
      <c r="AG130" s="374">
        <f t="shared" ref="AG130:AG137" si="22">+SUM(T130:AE130)</f>
        <v>0</v>
      </c>
      <c r="AH130" s="376">
        <f t="shared" ref="AH130:AH137" si="23">+S130-AG130</f>
        <v>0</v>
      </c>
      <c r="AJ130" s="373"/>
      <c r="AK130" s="373"/>
    </row>
    <row r="131" spans="1:46" x14ac:dyDescent="0.25">
      <c r="C131" s="370" t="s">
        <v>864</v>
      </c>
      <c r="D131" s="371">
        <v>6087</v>
      </c>
      <c r="F131" s="373">
        <v>3000</v>
      </c>
      <c r="R131" s="374">
        <f t="shared" si="21"/>
        <v>3000</v>
      </c>
      <c r="U131" s="373">
        <v>627</v>
      </c>
      <c r="V131" s="373">
        <v>10397.15</v>
      </c>
      <c r="AG131" s="374">
        <f t="shared" si="22"/>
        <v>11024.15</v>
      </c>
      <c r="AH131" s="376">
        <f t="shared" si="23"/>
        <v>-11024.15</v>
      </c>
      <c r="AJ131" s="373"/>
      <c r="AK131" s="373"/>
    </row>
    <row r="132" spans="1:46" x14ac:dyDescent="0.25">
      <c r="C132" s="370" t="s">
        <v>48</v>
      </c>
      <c r="D132" s="371">
        <v>6500</v>
      </c>
      <c r="E132" s="373">
        <v>6500</v>
      </c>
      <c r="R132" s="374">
        <f t="shared" si="21"/>
        <v>6500</v>
      </c>
      <c r="T132" s="373">
        <v>1253.48</v>
      </c>
      <c r="AG132" s="374">
        <f t="shared" si="22"/>
        <v>1253.48</v>
      </c>
      <c r="AH132" s="376">
        <f t="shared" si="23"/>
        <v>-1253.48</v>
      </c>
      <c r="AJ132" s="373"/>
      <c r="AK132" s="373"/>
    </row>
    <row r="133" spans="1:46" x14ac:dyDescent="0.25">
      <c r="C133" s="370" t="s">
        <v>854</v>
      </c>
      <c r="D133" s="371">
        <v>4000</v>
      </c>
      <c r="E133" s="373">
        <v>4000</v>
      </c>
      <c r="R133" s="374">
        <f t="shared" si="21"/>
        <v>4000</v>
      </c>
      <c r="AG133" s="374">
        <f t="shared" si="22"/>
        <v>0</v>
      </c>
      <c r="AH133" s="376">
        <f t="shared" si="23"/>
        <v>0</v>
      </c>
      <c r="AJ133" s="373"/>
      <c r="AK133" s="373"/>
    </row>
    <row r="134" spans="1:46" x14ac:dyDescent="0.25">
      <c r="C134" s="370" t="s">
        <v>783</v>
      </c>
      <c r="D134" s="380">
        <v>6500</v>
      </c>
      <c r="E134" s="373">
        <v>6500</v>
      </c>
      <c r="R134" s="374">
        <f t="shared" si="21"/>
        <v>6500</v>
      </c>
      <c r="T134" s="373">
        <v>1671.78</v>
      </c>
      <c r="AG134" s="374">
        <f t="shared" si="22"/>
        <v>1671.78</v>
      </c>
      <c r="AH134" s="376">
        <f t="shared" si="23"/>
        <v>-1671.78</v>
      </c>
      <c r="AJ134" s="373"/>
      <c r="AK134" s="373"/>
    </row>
    <row r="135" spans="1:46" x14ac:dyDescent="0.25">
      <c r="C135" s="370" t="s">
        <v>781</v>
      </c>
      <c r="D135" s="380">
        <v>2000</v>
      </c>
      <c r="E135" s="373">
        <v>2000</v>
      </c>
      <c r="R135" s="374">
        <f t="shared" si="21"/>
        <v>2000</v>
      </c>
      <c r="AG135" s="374">
        <f t="shared" si="22"/>
        <v>0</v>
      </c>
      <c r="AH135" s="376">
        <f t="shared" si="23"/>
        <v>0</v>
      </c>
      <c r="AJ135" s="373"/>
      <c r="AK135" s="373"/>
    </row>
    <row r="136" spans="1:46" x14ac:dyDescent="0.25">
      <c r="C136" s="370" t="s">
        <v>865</v>
      </c>
      <c r="D136" s="380">
        <v>2000</v>
      </c>
      <c r="E136" s="373">
        <v>2000</v>
      </c>
      <c r="R136" s="374">
        <f t="shared" si="21"/>
        <v>2000</v>
      </c>
      <c r="AG136" s="374">
        <f t="shared" si="22"/>
        <v>0</v>
      </c>
      <c r="AH136" s="376">
        <f t="shared" si="23"/>
        <v>0</v>
      </c>
      <c r="AJ136" s="373"/>
      <c r="AK136" s="373"/>
    </row>
    <row r="137" spans="1:46" x14ac:dyDescent="0.25">
      <c r="C137" s="370" t="s">
        <v>770</v>
      </c>
      <c r="D137" s="380">
        <v>3000</v>
      </c>
      <c r="F137" s="373">
        <v>3000</v>
      </c>
      <c r="R137" s="374">
        <f t="shared" si="21"/>
        <v>3000</v>
      </c>
      <c r="U137" s="373">
        <v>792</v>
      </c>
      <c r="AG137" s="374">
        <f t="shared" si="22"/>
        <v>792</v>
      </c>
      <c r="AH137" s="376">
        <f t="shared" si="23"/>
        <v>-792</v>
      </c>
      <c r="AJ137" s="373"/>
      <c r="AK137" s="373"/>
    </row>
    <row r="138" spans="1:46" s="368" customFormat="1" ht="2.65" customHeight="1" x14ac:dyDescent="0.25"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5"/>
      <c r="T138" s="372"/>
      <c r="U138" s="372"/>
      <c r="V138" s="372"/>
      <c r="W138" s="372"/>
      <c r="X138" s="372"/>
      <c r="Y138" s="372"/>
      <c r="Z138" s="372"/>
      <c r="AA138" s="372"/>
      <c r="AB138" s="372"/>
      <c r="AC138" s="372"/>
      <c r="AD138" s="372"/>
      <c r="AE138" s="372"/>
      <c r="AF138" s="372"/>
      <c r="AG138" s="372"/>
      <c r="AH138" s="375"/>
      <c r="AI138" s="372"/>
    </row>
    <row r="139" spans="1:46" x14ac:dyDescent="0.25">
      <c r="B139" s="487" t="s">
        <v>784</v>
      </c>
      <c r="C139" s="487"/>
      <c r="D139" s="356" t="s">
        <v>764</v>
      </c>
      <c r="E139" s="356" t="s">
        <v>406</v>
      </c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7" t="s">
        <v>609</v>
      </c>
      <c r="S139" s="358"/>
      <c r="T139" s="356" t="s">
        <v>406</v>
      </c>
      <c r="U139" s="356"/>
      <c r="V139" s="356"/>
      <c r="W139" s="356"/>
      <c r="X139" s="356"/>
      <c r="Y139" s="356"/>
      <c r="Z139" s="356"/>
      <c r="AA139" s="356"/>
      <c r="AB139" s="356"/>
      <c r="AC139" s="356"/>
      <c r="AD139" s="356"/>
      <c r="AE139" s="356"/>
      <c r="AF139" s="356"/>
      <c r="AG139" s="357" t="s">
        <v>609</v>
      </c>
      <c r="AH139" s="360"/>
      <c r="AJ139" s="373"/>
      <c r="AK139" s="373"/>
    </row>
    <row r="140" spans="1:46" s="366" customFormat="1" ht="25.15" customHeight="1" x14ac:dyDescent="0.2">
      <c r="A140" s="361"/>
      <c r="B140" s="485" t="s">
        <v>866</v>
      </c>
      <c r="C140" s="485"/>
      <c r="D140" s="382">
        <v>26000</v>
      </c>
      <c r="E140" s="363">
        <v>526</v>
      </c>
      <c r="F140" s="36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3"/>
      <c r="R140" s="360"/>
      <c r="S140" s="358"/>
      <c r="T140" s="363">
        <v>526</v>
      </c>
      <c r="U140" s="363"/>
      <c r="V140" s="363"/>
      <c r="W140" s="363"/>
      <c r="X140" s="363"/>
      <c r="Y140" s="363"/>
      <c r="Z140" s="363"/>
      <c r="AA140" s="363"/>
      <c r="AB140" s="363"/>
      <c r="AC140" s="363"/>
      <c r="AD140" s="363"/>
      <c r="AE140" s="363"/>
      <c r="AF140" s="363"/>
      <c r="AG140" s="360"/>
      <c r="AH140" s="360"/>
      <c r="AI140" s="360"/>
      <c r="AJ140" s="360"/>
      <c r="AK140" s="360"/>
      <c r="AL140" s="383"/>
      <c r="AM140" s="383"/>
      <c r="AN140" s="383"/>
      <c r="AO140" s="353"/>
      <c r="AP140" s="353"/>
      <c r="AQ140" s="353"/>
      <c r="AR140" s="353"/>
      <c r="AS140" s="353"/>
      <c r="AT140" s="353"/>
    </row>
    <row r="141" spans="1:46" x14ac:dyDescent="0.25">
      <c r="C141" s="370" t="s">
        <v>867</v>
      </c>
      <c r="D141" s="371">
        <v>1141106</v>
      </c>
      <c r="E141" s="373">
        <v>1141106</v>
      </c>
      <c r="R141" s="374">
        <f>+SUM(E141:Q141)</f>
        <v>1141106</v>
      </c>
      <c r="T141" s="373">
        <v>1141106</v>
      </c>
      <c r="AG141" s="374">
        <f>+SUM(T141:AE141)</f>
        <v>1141106</v>
      </c>
      <c r="AH141" s="376">
        <f>+S141-AG141</f>
        <v>-1141106</v>
      </c>
      <c r="AJ141" s="373"/>
      <c r="AK141" s="373"/>
    </row>
    <row r="142" spans="1:46" x14ac:dyDescent="0.25">
      <c r="C142" s="370" t="s">
        <v>868</v>
      </c>
      <c r="D142" s="371">
        <v>1141106</v>
      </c>
      <c r="E142" s="373">
        <v>1141106</v>
      </c>
      <c r="R142" s="374">
        <f>+SUM(E142:Q142)</f>
        <v>1141106</v>
      </c>
      <c r="T142" s="373">
        <v>1141106</v>
      </c>
      <c r="AG142" s="374">
        <f>+SUM(T142:AE142)</f>
        <v>1141106</v>
      </c>
      <c r="AH142" s="376">
        <f>+S142-AG142</f>
        <v>-1141106</v>
      </c>
      <c r="AJ142" s="373"/>
      <c r="AK142" s="373"/>
    </row>
    <row r="143" spans="1:46" x14ac:dyDescent="0.25">
      <c r="C143" s="370" t="s">
        <v>319</v>
      </c>
      <c r="D143" s="380">
        <v>1241106</v>
      </c>
      <c r="E143" s="373">
        <v>1241106</v>
      </c>
      <c r="R143" s="374">
        <f>+SUM(E143:Q143)</f>
        <v>1241106</v>
      </c>
      <c r="T143" s="373">
        <v>1678475.35</v>
      </c>
      <c r="AG143" s="374">
        <f>+SUM(T143:AE143)</f>
        <v>1678475.35</v>
      </c>
      <c r="AH143" s="376">
        <f>+S143-AG143</f>
        <v>-1678475.35</v>
      </c>
      <c r="AJ143" s="373"/>
      <c r="AK143" s="373"/>
    </row>
    <row r="144" spans="1:46" ht="2.65" customHeight="1" x14ac:dyDescent="0.25">
      <c r="C144" s="370"/>
      <c r="R144" s="372"/>
      <c r="AG144" s="372"/>
      <c r="AH144" s="375"/>
    </row>
    <row r="145" spans="1:46" x14ac:dyDescent="0.25">
      <c r="B145" s="487" t="s">
        <v>784</v>
      </c>
      <c r="C145" s="487"/>
      <c r="D145" s="356" t="s">
        <v>764</v>
      </c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7" t="s">
        <v>609</v>
      </c>
      <c r="S145" s="358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7" t="s">
        <v>609</v>
      </c>
      <c r="AH145" s="360"/>
      <c r="AJ145" s="373"/>
      <c r="AK145" s="373"/>
    </row>
    <row r="146" spans="1:46" s="366" customFormat="1" ht="25.15" customHeight="1" x14ac:dyDescent="0.2">
      <c r="A146" s="361"/>
      <c r="B146" s="485" t="s">
        <v>869</v>
      </c>
      <c r="C146" s="485"/>
      <c r="D146" s="382">
        <v>22600</v>
      </c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0"/>
      <c r="S146" s="358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0"/>
      <c r="AH146" s="360"/>
      <c r="AI146" s="360"/>
      <c r="AJ146" s="360"/>
      <c r="AK146" s="360"/>
      <c r="AL146" s="383"/>
      <c r="AM146" s="383"/>
      <c r="AN146" s="383"/>
      <c r="AO146" s="353"/>
      <c r="AP146" s="353"/>
      <c r="AQ146" s="353"/>
      <c r="AR146" s="353"/>
      <c r="AS146" s="353"/>
      <c r="AT146" s="353"/>
    </row>
    <row r="147" spans="1:46" x14ac:dyDescent="0.25">
      <c r="C147" s="370" t="s">
        <v>870</v>
      </c>
      <c r="D147" s="371">
        <v>21000</v>
      </c>
      <c r="R147" s="374">
        <f>+SUM(E147:Q147)</f>
        <v>0</v>
      </c>
      <c r="AG147" s="374">
        <f>+SUM(T147:AE147)</f>
        <v>0</v>
      </c>
      <c r="AH147" s="376">
        <f>+S147-AG147</f>
        <v>0</v>
      </c>
      <c r="AJ147" s="373"/>
      <c r="AK147" s="373"/>
    </row>
    <row r="148" spans="1:46" x14ac:dyDescent="0.25">
      <c r="C148" s="370" t="s">
        <v>870</v>
      </c>
      <c r="D148" s="380">
        <v>21000</v>
      </c>
      <c r="R148" s="374">
        <f>+SUM(E148:Q148)</f>
        <v>0</v>
      </c>
      <c r="AG148" s="374">
        <f>+SUM(T148:AE148)</f>
        <v>0</v>
      </c>
      <c r="AH148" s="376">
        <f>+S148-AG148</f>
        <v>0</v>
      </c>
      <c r="AJ148" s="373"/>
      <c r="AK148" s="373"/>
    </row>
    <row r="149" spans="1:46" ht="2.65" customHeight="1" x14ac:dyDescent="0.25">
      <c r="C149" s="370"/>
      <c r="R149" s="372"/>
      <c r="AG149" s="372"/>
      <c r="AH149" s="375"/>
    </row>
    <row r="150" spans="1:46" x14ac:dyDescent="0.25">
      <c r="B150" s="487" t="s">
        <v>784</v>
      </c>
      <c r="C150" s="487"/>
      <c r="D150" s="356" t="s">
        <v>764</v>
      </c>
      <c r="E150" s="356" t="s">
        <v>871</v>
      </c>
      <c r="F150" s="356" t="s">
        <v>872</v>
      </c>
      <c r="G150" s="356" t="s">
        <v>873</v>
      </c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7" t="s">
        <v>609</v>
      </c>
      <c r="S150" s="358"/>
      <c r="T150" s="356" t="s">
        <v>871</v>
      </c>
      <c r="U150" s="356" t="s">
        <v>872</v>
      </c>
      <c r="V150" s="356" t="s">
        <v>873</v>
      </c>
      <c r="W150" s="356" t="s">
        <v>766</v>
      </c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7" t="s">
        <v>609</v>
      </c>
      <c r="AH150" s="360"/>
      <c r="AJ150" s="373"/>
      <c r="AK150" s="373"/>
    </row>
    <row r="151" spans="1:46" s="366" customFormat="1" ht="25.15" customHeight="1" x14ac:dyDescent="0.2">
      <c r="A151" s="361"/>
      <c r="B151" s="485" t="s">
        <v>874</v>
      </c>
      <c r="C151" s="485"/>
      <c r="D151" s="382">
        <v>22300</v>
      </c>
      <c r="E151" s="363">
        <v>223</v>
      </c>
      <c r="F151" s="363">
        <v>265</v>
      </c>
      <c r="G151" s="363">
        <v>266</v>
      </c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0"/>
      <c r="S151" s="358"/>
      <c r="T151" s="363">
        <v>223</v>
      </c>
      <c r="U151" s="363">
        <v>265</v>
      </c>
      <c r="V151" s="363">
        <v>266</v>
      </c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0"/>
      <c r="AH151" s="360"/>
      <c r="AI151" s="360"/>
      <c r="AJ151" s="360"/>
      <c r="AK151" s="360"/>
      <c r="AL151" s="383"/>
      <c r="AM151" s="383"/>
      <c r="AN151" s="383"/>
      <c r="AO151" s="353"/>
      <c r="AP151" s="353"/>
      <c r="AQ151" s="353"/>
      <c r="AR151" s="353"/>
      <c r="AS151" s="353"/>
      <c r="AT151" s="353"/>
    </row>
    <row r="152" spans="1:46" s="366" customFormat="1" ht="14.45" customHeight="1" x14ac:dyDescent="0.25">
      <c r="A152" s="361"/>
      <c r="B152" s="384"/>
      <c r="C152" s="370" t="s">
        <v>768</v>
      </c>
      <c r="D152" s="400">
        <v>1205.3499999999999</v>
      </c>
      <c r="E152" s="387"/>
      <c r="F152" s="387"/>
      <c r="G152" s="387"/>
      <c r="H152" s="387"/>
      <c r="I152" s="387"/>
      <c r="J152" s="363"/>
      <c r="K152" s="363"/>
      <c r="L152" s="363"/>
      <c r="M152" s="363"/>
      <c r="N152" s="363"/>
      <c r="O152" s="363"/>
      <c r="P152" s="363"/>
      <c r="Q152" s="363"/>
      <c r="R152" s="374">
        <f>+SUM(E152:Q152)</f>
        <v>0</v>
      </c>
      <c r="S152" s="358"/>
      <c r="T152" s="387"/>
      <c r="U152" s="387"/>
      <c r="V152" s="387"/>
      <c r="W152" s="387"/>
      <c r="X152" s="387"/>
      <c r="Y152" s="363"/>
      <c r="Z152" s="363"/>
      <c r="AA152" s="363"/>
      <c r="AB152" s="363"/>
      <c r="AC152" s="363"/>
      <c r="AD152" s="363"/>
      <c r="AE152" s="363"/>
      <c r="AF152" s="363"/>
      <c r="AG152" s="374">
        <f>+SUM(T152:AE152)</f>
        <v>0</v>
      </c>
      <c r="AH152" s="393">
        <f t="shared" ref="AH152:AH158" si="24">+S152-AG152</f>
        <v>0</v>
      </c>
      <c r="AI152" s="360"/>
      <c r="AJ152" s="360"/>
      <c r="AK152" s="360"/>
      <c r="AL152" s="383"/>
      <c r="AM152" s="383"/>
      <c r="AN152" s="383"/>
      <c r="AO152" s="353"/>
      <c r="AP152" s="353"/>
      <c r="AQ152" s="353"/>
      <c r="AR152" s="353"/>
      <c r="AS152" s="353"/>
      <c r="AT152" s="353"/>
    </row>
    <row r="153" spans="1:46" s="366" customFormat="1" ht="14.45" customHeight="1" x14ac:dyDescent="0.25">
      <c r="A153" s="361"/>
      <c r="B153" s="384"/>
      <c r="C153" s="370" t="s">
        <v>875</v>
      </c>
      <c r="D153" s="400">
        <v>3883</v>
      </c>
      <c r="E153" s="387"/>
      <c r="F153" s="387">
        <v>3883</v>
      </c>
      <c r="G153" s="387"/>
      <c r="H153" s="387"/>
      <c r="I153" s="387"/>
      <c r="J153" s="363"/>
      <c r="K153" s="363"/>
      <c r="L153" s="363"/>
      <c r="M153" s="363"/>
      <c r="N153" s="363"/>
      <c r="O153" s="363"/>
      <c r="P153" s="363"/>
      <c r="Q153" s="363"/>
      <c r="R153" s="374">
        <f>+SUM(E153:Q153)</f>
        <v>3883</v>
      </c>
      <c r="S153" s="358"/>
      <c r="T153" s="387"/>
      <c r="U153" s="387">
        <v>0</v>
      </c>
      <c r="V153" s="387"/>
      <c r="W153" s="387"/>
      <c r="X153" s="387"/>
      <c r="Y153" s="363"/>
      <c r="Z153" s="363"/>
      <c r="AA153" s="363"/>
      <c r="AB153" s="363"/>
      <c r="AC153" s="363"/>
      <c r="AD153" s="363"/>
      <c r="AE153" s="363"/>
      <c r="AF153" s="363"/>
      <c r="AG153" s="374">
        <f t="shared" ref="AG153:AG158" si="25">+SUM(T153:AE153)</f>
        <v>0</v>
      </c>
      <c r="AH153" s="393">
        <f t="shared" si="24"/>
        <v>0</v>
      </c>
      <c r="AI153" s="360"/>
      <c r="AJ153" s="360"/>
      <c r="AK153" s="360"/>
      <c r="AL153" s="383"/>
      <c r="AM153" s="383"/>
      <c r="AN153" s="383"/>
      <c r="AO153" s="353"/>
      <c r="AP153" s="353"/>
      <c r="AQ153" s="353"/>
      <c r="AR153" s="353"/>
      <c r="AS153" s="353"/>
      <c r="AT153" s="353"/>
    </row>
    <row r="154" spans="1:46" x14ac:dyDescent="0.25">
      <c r="C154" s="370" t="s">
        <v>876</v>
      </c>
      <c r="D154" s="371">
        <v>4008</v>
      </c>
      <c r="E154" s="389"/>
      <c r="F154" s="389"/>
      <c r="G154" s="389">
        <v>4008</v>
      </c>
      <c r="H154" s="389"/>
      <c r="I154" s="389"/>
      <c r="R154" s="374">
        <f>+SUM(E154:Q154)</f>
        <v>4008</v>
      </c>
      <c r="S154" s="358"/>
      <c r="T154" s="389"/>
      <c r="U154" s="389"/>
      <c r="V154" s="389">
        <v>188.05</v>
      </c>
      <c r="W154" s="389"/>
      <c r="X154" s="389"/>
      <c r="AG154" s="374">
        <f t="shared" si="25"/>
        <v>188.05</v>
      </c>
      <c r="AH154" s="393">
        <f t="shared" si="24"/>
        <v>-188.05</v>
      </c>
      <c r="AJ154" s="373"/>
      <c r="AK154" s="373"/>
    </row>
    <row r="155" spans="1:46" x14ac:dyDescent="0.25">
      <c r="C155" s="370" t="s">
        <v>877</v>
      </c>
      <c r="D155" s="371">
        <v>5010</v>
      </c>
      <c r="E155" s="389">
        <v>5010</v>
      </c>
      <c r="F155" s="389"/>
      <c r="G155" s="389"/>
      <c r="H155" s="389"/>
      <c r="I155" s="389"/>
      <c r="R155" s="374">
        <f>+SUM(E155:Q155)</f>
        <v>5010</v>
      </c>
      <c r="S155" s="358"/>
      <c r="T155" s="389">
        <v>584.78</v>
      </c>
      <c r="U155" s="389"/>
      <c r="V155" s="389"/>
      <c r="W155" s="389"/>
      <c r="X155" s="389"/>
      <c r="AG155" s="374">
        <f t="shared" si="25"/>
        <v>584.78</v>
      </c>
      <c r="AH155" s="393">
        <f t="shared" si="24"/>
        <v>-584.78</v>
      </c>
      <c r="AJ155" s="373"/>
      <c r="AK155" s="373"/>
    </row>
    <row r="156" spans="1:46" x14ac:dyDescent="0.25">
      <c r="C156" s="370" t="s">
        <v>321</v>
      </c>
      <c r="D156" s="371">
        <v>159</v>
      </c>
      <c r="E156" s="389">
        <v>43</v>
      </c>
      <c r="F156" s="389">
        <v>57</v>
      </c>
      <c r="G156" s="389">
        <v>59</v>
      </c>
      <c r="H156" s="389"/>
      <c r="I156" s="389"/>
      <c r="R156" s="374">
        <f>+SUM(E156:Q156)</f>
        <v>159</v>
      </c>
      <c r="S156" s="358"/>
      <c r="T156" s="389"/>
      <c r="U156" s="389">
        <v>0</v>
      </c>
      <c r="V156" s="389">
        <v>0</v>
      </c>
      <c r="W156" s="389"/>
      <c r="X156" s="389"/>
      <c r="AG156" s="374">
        <f t="shared" si="25"/>
        <v>0</v>
      </c>
      <c r="AH156" s="393">
        <f t="shared" si="24"/>
        <v>0</v>
      </c>
      <c r="AJ156" s="373"/>
      <c r="AK156" s="373"/>
    </row>
    <row r="157" spans="1:46" x14ac:dyDescent="0.25">
      <c r="C157" s="370" t="s">
        <v>777</v>
      </c>
      <c r="D157" s="380">
        <f>9018+3883</f>
        <v>12901</v>
      </c>
      <c r="E157" s="389">
        <v>5010</v>
      </c>
      <c r="F157" s="389">
        <v>3883</v>
      </c>
      <c r="G157" s="389">
        <v>4008</v>
      </c>
      <c r="H157" s="389"/>
      <c r="I157" s="389"/>
      <c r="R157" s="374"/>
      <c r="S157" s="358"/>
      <c r="T157" s="389"/>
      <c r="U157" s="389">
        <v>60.69</v>
      </c>
      <c r="V157" s="389">
        <v>243.73</v>
      </c>
      <c r="W157" s="389">
        <v>532.65</v>
      </c>
      <c r="X157" s="389"/>
      <c r="AG157" s="374">
        <f t="shared" si="25"/>
        <v>837.06999999999994</v>
      </c>
      <c r="AH157" s="393">
        <f t="shared" si="24"/>
        <v>-837.06999999999994</v>
      </c>
      <c r="AJ157" s="373"/>
      <c r="AK157" s="373"/>
    </row>
    <row r="158" spans="1:46" x14ac:dyDescent="0.25">
      <c r="C158" s="370" t="s">
        <v>393</v>
      </c>
      <c r="D158" s="380">
        <f>102+57</f>
        <v>159</v>
      </c>
      <c r="E158" s="389">
        <v>43</v>
      </c>
      <c r="F158" s="389">
        <v>57</v>
      </c>
      <c r="G158" s="389">
        <v>59</v>
      </c>
      <c r="H158" s="389"/>
      <c r="I158" s="389"/>
      <c r="R158" s="374">
        <f>+SUM(E158:Q158)</f>
        <v>159</v>
      </c>
      <c r="S158" s="358"/>
      <c r="T158" s="389"/>
      <c r="U158" s="389">
        <v>0</v>
      </c>
      <c r="V158" s="389">
        <v>59</v>
      </c>
      <c r="W158" s="389"/>
      <c r="X158" s="389"/>
      <c r="AG158" s="374">
        <f t="shared" si="25"/>
        <v>59</v>
      </c>
      <c r="AH158" s="393">
        <f t="shared" si="24"/>
        <v>-59</v>
      </c>
      <c r="AJ158" s="373"/>
      <c r="AK158" s="373"/>
    </row>
    <row r="159" spans="1:46" s="368" customFormat="1" ht="2.65" customHeight="1" x14ac:dyDescent="0.25">
      <c r="D159" s="372"/>
      <c r="E159" s="372"/>
      <c r="F159" s="372"/>
      <c r="G159" s="372"/>
      <c r="H159" s="372"/>
      <c r="I159" s="372"/>
      <c r="J159" s="372"/>
      <c r="K159" s="372"/>
      <c r="L159" s="372"/>
      <c r="M159" s="372"/>
      <c r="N159" s="372"/>
      <c r="O159" s="372"/>
      <c r="P159" s="372"/>
      <c r="Q159" s="372"/>
      <c r="R159" s="372"/>
      <c r="S159" s="375"/>
      <c r="T159" s="372"/>
      <c r="U159" s="372"/>
      <c r="V159" s="372"/>
      <c r="W159" s="372"/>
      <c r="X159" s="372"/>
      <c r="Y159" s="372"/>
      <c r="Z159" s="372"/>
      <c r="AA159" s="372"/>
      <c r="AB159" s="372"/>
      <c r="AC159" s="372"/>
      <c r="AD159" s="372"/>
      <c r="AE159" s="372"/>
      <c r="AF159" s="372"/>
      <c r="AG159" s="372"/>
      <c r="AH159" s="375"/>
      <c r="AI159" s="372"/>
    </row>
    <row r="160" spans="1:46" x14ac:dyDescent="0.25">
      <c r="B160" s="487" t="s">
        <v>784</v>
      </c>
      <c r="C160" s="487"/>
      <c r="D160" s="356" t="s">
        <v>764</v>
      </c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7" t="s">
        <v>609</v>
      </c>
      <c r="S160" s="358"/>
      <c r="T160" s="356" t="s">
        <v>766</v>
      </c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7" t="s">
        <v>609</v>
      </c>
      <c r="AH160" s="360"/>
      <c r="AJ160" s="373"/>
      <c r="AK160" s="373"/>
    </row>
    <row r="161" spans="1:46" s="366" customFormat="1" ht="25.15" customHeight="1" x14ac:dyDescent="0.2">
      <c r="A161" s="361"/>
      <c r="B161" s="485" t="s">
        <v>878</v>
      </c>
      <c r="C161" s="485"/>
      <c r="D161" s="382">
        <v>21800</v>
      </c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0"/>
      <c r="S161" s="358"/>
      <c r="T161" s="363"/>
      <c r="U161" s="363"/>
      <c r="V161" s="363"/>
      <c r="W161" s="363"/>
      <c r="X161" s="363"/>
      <c r="Y161" s="363"/>
      <c r="Z161" s="363"/>
      <c r="AA161" s="363"/>
      <c r="AB161" s="363"/>
      <c r="AC161" s="363"/>
      <c r="AD161" s="363"/>
      <c r="AE161" s="363"/>
      <c r="AF161" s="363"/>
      <c r="AG161" s="360"/>
      <c r="AH161" s="360"/>
      <c r="AI161" s="360"/>
      <c r="AJ161" s="360"/>
      <c r="AK161" s="360"/>
      <c r="AL161" s="383"/>
      <c r="AM161" s="383"/>
      <c r="AN161" s="383"/>
      <c r="AO161" s="353"/>
      <c r="AP161" s="353"/>
      <c r="AQ161" s="353"/>
      <c r="AR161" s="353"/>
      <c r="AS161" s="353"/>
      <c r="AT161" s="353"/>
    </row>
    <row r="162" spans="1:46" x14ac:dyDescent="0.25">
      <c r="C162" s="370" t="s">
        <v>768</v>
      </c>
      <c r="D162" s="371">
        <v>967954</v>
      </c>
      <c r="R162" s="374">
        <f>+SUM(E162:Q162)</f>
        <v>0</v>
      </c>
      <c r="T162" s="373">
        <v>967954</v>
      </c>
      <c r="AG162" s="374">
        <f>+SUM(T162:AE162)</f>
        <v>967954</v>
      </c>
      <c r="AH162" s="376"/>
      <c r="AJ162" s="373"/>
      <c r="AK162" s="373"/>
    </row>
    <row r="163" spans="1:46" ht="2.65" customHeight="1" x14ac:dyDescent="0.25">
      <c r="C163" s="370"/>
      <c r="D163" s="380"/>
      <c r="R163" s="374"/>
      <c r="AG163" s="374"/>
      <c r="AJ163" s="373"/>
      <c r="AK163" s="373"/>
    </row>
    <row r="164" spans="1:46" x14ac:dyDescent="0.25">
      <c r="B164" s="487" t="s">
        <v>784</v>
      </c>
      <c r="C164" s="487"/>
      <c r="D164" s="356" t="s">
        <v>764</v>
      </c>
      <c r="E164" s="356" t="s">
        <v>575</v>
      </c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7" t="s">
        <v>609</v>
      </c>
      <c r="S164" s="358"/>
      <c r="T164" s="356" t="s">
        <v>575</v>
      </c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7" t="s">
        <v>609</v>
      </c>
      <c r="AH164" s="360"/>
      <c r="AJ164" s="373"/>
      <c r="AK164" s="373"/>
    </row>
    <row r="165" spans="1:46" s="366" customFormat="1" ht="25.15" customHeight="1" x14ac:dyDescent="0.2">
      <c r="A165" s="361"/>
      <c r="B165" s="485" t="s">
        <v>879</v>
      </c>
      <c r="C165" s="485"/>
      <c r="D165" s="382">
        <v>21600</v>
      </c>
      <c r="E165" s="363">
        <v>300</v>
      </c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0"/>
      <c r="S165" s="358"/>
      <c r="T165" s="363">
        <v>300</v>
      </c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0"/>
      <c r="AH165" s="360"/>
      <c r="AI165" s="360"/>
      <c r="AJ165" s="360"/>
      <c r="AK165" s="360"/>
      <c r="AL165" s="383"/>
      <c r="AM165" s="383"/>
      <c r="AN165" s="383"/>
      <c r="AO165" s="353"/>
      <c r="AP165" s="353"/>
      <c r="AQ165" s="353"/>
      <c r="AR165" s="353"/>
      <c r="AS165" s="353"/>
      <c r="AT165" s="353"/>
    </row>
    <row r="166" spans="1:46" x14ac:dyDescent="0.25">
      <c r="C166" s="370" t="s">
        <v>880</v>
      </c>
      <c r="D166" s="371">
        <v>5500</v>
      </c>
      <c r="E166" s="373">
        <v>5500</v>
      </c>
      <c r="R166" s="374">
        <f>+SUM(E166:Q166)</f>
        <v>5500</v>
      </c>
      <c r="T166" s="373">
        <v>3099.69</v>
      </c>
      <c r="AG166" s="374">
        <f>+SUM(T166:AE166)</f>
        <v>3099.69</v>
      </c>
      <c r="AH166" s="376">
        <f>+S166-AG166</f>
        <v>-3099.69</v>
      </c>
      <c r="AJ166" s="373"/>
      <c r="AK166" s="373"/>
    </row>
    <row r="167" spans="1:46" x14ac:dyDescent="0.25">
      <c r="C167" s="370" t="s">
        <v>795</v>
      </c>
      <c r="D167" s="371">
        <v>12500</v>
      </c>
      <c r="E167" s="373">
        <v>12500</v>
      </c>
      <c r="R167" s="374">
        <f>+SUM(E167:Q167)</f>
        <v>12500</v>
      </c>
      <c r="T167" s="373">
        <v>0</v>
      </c>
      <c r="AG167" s="374">
        <f>+SUM(T167:AE167)</f>
        <v>0</v>
      </c>
      <c r="AH167" s="376">
        <f>+S167-AG167</f>
        <v>0</v>
      </c>
      <c r="AJ167" s="373"/>
      <c r="AK167" s="373"/>
    </row>
    <row r="168" spans="1:46" x14ac:dyDescent="0.25">
      <c r="C168" s="370" t="s">
        <v>783</v>
      </c>
      <c r="D168" s="380">
        <v>18000</v>
      </c>
      <c r="E168" s="373">
        <v>18000</v>
      </c>
      <c r="R168" s="374">
        <f>+SUM(E168:Q168)</f>
        <v>18000</v>
      </c>
      <c r="T168" s="373">
        <v>34.72</v>
      </c>
      <c r="AG168" s="374">
        <f>+SUM(T168:AE168)</f>
        <v>34.72</v>
      </c>
      <c r="AH168" s="376">
        <f>+S168-AG168</f>
        <v>-34.72</v>
      </c>
      <c r="AJ168" s="373"/>
      <c r="AK168" s="373"/>
    </row>
    <row r="169" spans="1:46" s="368" customFormat="1" ht="2.65" customHeight="1" x14ac:dyDescent="0.25">
      <c r="D169" s="372"/>
      <c r="E169" s="372"/>
      <c r="F169" s="372"/>
      <c r="G169" s="372"/>
      <c r="H169" s="372"/>
      <c r="I169" s="372"/>
      <c r="J169" s="372"/>
      <c r="K169" s="372"/>
      <c r="L169" s="372"/>
      <c r="M169" s="372"/>
      <c r="N169" s="372"/>
      <c r="O169" s="372"/>
      <c r="P169" s="372"/>
      <c r="Q169" s="372"/>
      <c r="R169" s="372"/>
      <c r="S169" s="375"/>
      <c r="T169" s="372"/>
      <c r="U169" s="372"/>
      <c r="V169" s="372"/>
      <c r="W169" s="372"/>
      <c r="X169" s="372"/>
      <c r="Y169" s="372"/>
      <c r="Z169" s="372"/>
      <c r="AA169" s="372"/>
      <c r="AB169" s="372"/>
      <c r="AC169" s="372"/>
      <c r="AD169" s="372"/>
      <c r="AE169" s="372"/>
      <c r="AF169" s="372"/>
      <c r="AG169" s="372"/>
      <c r="AH169" s="375"/>
      <c r="AI169" s="372"/>
    </row>
    <row r="170" spans="1:46" x14ac:dyDescent="0.25">
      <c r="B170" s="487" t="s">
        <v>784</v>
      </c>
      <c r="C170" s="487"/>
      <c r="D170" s="356" t="s">
        <v>764</v>
      </c>
      <c r="E170" s="356" t="s">
        <v>881</v>
      </c>
      <c r="F170" s="356"/>
      <c r="G170" s="356"/>
      <c r="H170" s="356"/>
      <c r="I170" s="356"/>
      <c r="J170" s="356"/>
      <c r="K170" s="356"/>
      <c r="L170" s="356"/>
      <c r="M170" s="356"/>
      <c r="N170" s="356"/>
      <c r="O170" s="356"/>
      <c r="P170" s="356"/>
      <c r="Q170" s="356"/>
      <c r="R170" s="357" t="s">
        <v>609</v>
      </c>
      <c r="S170" s="358"/>
      <c r="T170" s="356" t="s">
        <v>881</v>
      </c>
      <c r="U170" s="356" t="s">
        <v>766</v>
      </c>
      <c r="V170" s="356"/>
      <c r="W170" s="356"/>
      <c r="X170" s="356"/>
      <c r="Y170" s="356"/>
      <c r="Z170" s="356"/>
      <c r="AA170" s="356"/>
      <c r="AB170" s="356"/>
      <c r="AC170" s="356"/>
      <c r="AD170" s="356"/>
      <c r="AE170" s="356"/>
      <c r="AF170" s="356"/>
      <c r="AG170" s="357" t="s">
        <v>609</v>
      </c>
      <c r="AH170" s="360"/>
      <c r="AJ170" s="373"/>
      <c r="AK170" s="373"/>
    </row>
    <row r="171" spans="1:46" s="366" customFormat="1" ht="25.15" customHeight="1" x14ac:dyDescent="0.2">
      <c r="A171" s="361"/>
      <c r="B171" s="485" t="s">
        <v>882</v>
      </c>
      <c r="C171" s="485"/>
      <c r="D171" s="382">
        <v>21400</v>
      </c>
      <c r="E171" s="363">
        <v>301</v>
      </c>
      <c r="F171" s="36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3"/>
      <c r="R171" s="360"/>
      <c r="S171" s="358"/>
      <c r="T171" s="363">
        <v>301</v>
      </c>
      <c r="U171" s="363"/>
      <c r="V171" s="363"/>
      <c r="W171" s="363"/>
      <c r="X171" s="363"/>
      <c r="Y171" s="363"/>
      <c r="Z171" s="363"/>
      <c r="AA171" s="363"/>
      <c r="AB171" s="363"/>
      <c r="AC171" s="363"/>
      <c r="AD171" s="363"/>
      <c r="AE171" s="363"/>
      <c r="AF171" s="363"/>
      <c r="AG171" s="360"/>
      <c r="AH171" s="360"/>
      <c r="AI171" s="360"/>
      <c r="AJ171" s="360"/>
      <c r="AK171" s="360"/>
      <c r="AL171" s="383"/>
      <c r="AM171" s="383"/>
      <c r="AN171" s="383"/>
      <c r="AO171" s="353"/>
      <c r="AP171" s="353"/>
      <c r="AQ171" s="353"/>
      <c r="AR171" s="353"/>
      <c r="AS171" s="353"/>
      <c r="AT171" s="353"/>
    </row>
    <row r="172" spans="1:46" x14ac:dyDescent="0.25">
      <c r="C172" s="370" t="s">
        <v>883</v>
      </c>
      <c r="D172" s="371">
        <v>4880</v>
      </c>
      <c r="R172" s="374">
        <f>+SUM(E172:Q172)</f>
        <v>0</v>
      </c>
      <c r="AG172" s="374">
        <f>+SUM(T172:AE172)</f>
        <v>0</v>
      </c>
      <c r="AH172" s="376">
        <f>+S172-AG172</f>
        <v>0</v>
      </c>
      <c r="AJ172" s="373"/>
      <c r="AK172" s="373"/>
    </row>
    <row r="173" spans="1:46" x14ac:dyDescent="0.25">
      <c r="C173" s="370" t="s">
        <v>884</v>
      </c>
      <c r="D173" s="371">
        <v>1500</v>
      </c>
      <c r="E173" s="373">
        <v>1500</v>
      </c>
      <c r="R173" s="374">
        <f>+SUM(E173:Q173)</f>
        <v>1500</v>
      </c>
      <c r="T173" s="373">
        <v>1067.51</v>
      </c>
      <c r="AG173" s="374">
        <f>+SUM(T173:AE173)</f>
        <v>1067.51</v>
      </c>
      <c r="AH173" s="376">
        <f>+S173-AG173</f>
        <v>-1067.51</v>
      </c>
      <c r="AJ173" s="373"/>
      <c r="AK173" s="373"/>
    </row>
    <row r="174" spans="1:46" x14ac:dyDescent="0.25">
      <c r="C174" s="370" t="s">
        <v>885</v>
      </c>
      <c r="D174" s="380">
        <v>1500</v>
      </c>
      <c r="E174" s="373">
        <v>1500</v>
      </c>
      <c r="R174" s="374">
        <f>+SUM(E174:Q174)</f>
        <v>1500</v>
      </c>
      <c r="T174" s="373">
        <v>519.49</v>
      </c>
      <c r="U174" s="373">
        <f>4880-2521.93</f>
        <v>2358.0700000000002</v>
      </c>
      <c r="AG174" s="374">
        <f>+SUM(T174:AE174)</f>
        <v>2877.5600000000004</v>
      </c>
      <c r="AH174" s="376">
        <f>+S174-AG174</f>
        <v>-2877.5600000000004</v>
      </c>
      <c r="AJ174" s="373"/>
      <c r="AK174" s="373"/>
    </row>
    <row r="175" spans="1:46" s="368" customFormat="1" ht="2.65" customHeight="1" x14ac:dyDescent="0.25">
      <c r="D175" s="372"/>
      <c r="E175" s="372"/>
      <c r="F175" s="372"/>
      <c r="G175" s="372"/>
      <c r="H175" s="372"/>
      <c r="I175" s="372"/>
      <c r="J175" s="372"/>
      <c r="K175" s="372"/>
      <c r="L175" s="372"/>
      <c r="M175" s="372"/>
      <c r="N175" s="372"/>
      <c r="O175" s="372"/>
      <c r="P175" s="372"/>
      <c r="Q175" s="372"/>
      <c r="R175" s="372"/>
      <c r="S175" s="375"/>
      <c r="T175" s="372"/>
      <c r="U175" s="372"/>
      <c r="V175" s="372"/>
      <c r="W175" s="372"/>
      <c r="X175" s="372"/>
      <c r="Y175" s="372"/>
      <c r="Z175" s="372"/>
      <c r="AA175" s="372"/>
      <c r="AB175" s="372"/>
      <c r="AC175" s="372"/>
      <c r="AD175" s="372"/>
      <c r="AE175" s="372"/>
      <c r="AF175" s="372"/>
      <c r="AG175" s="372"/>
      <c r="AH175" s="375"/>
      <c r="AI175" s="372"/>
    </row>
    <row r="176" spans="1:46" x14ac:dyDescent="0.25">
      <c r="B176" s="487" t="s">
        <v>784</v>
      </c>
      <c r="C176" s="487"/>
      <c r="D176" s="356" t="s">
        <v>764</v>
      </c>
      <c r="E176" s="356" t="s">
        <v>886</v>
      </c>
      <c r="F176" s="356"/>
      <c r="G176" s="356"/>
      <c r="H176" s="356"/>
      <c r="I176" s="356"/>
      <c r="J176" s="356"/>
      <c r="K176" s="356"/>
      <c r="L176" s="356"/>
      <c r="M176" s="356"/>
      <c r="N176" s="356"/>
      <c r="O176" s="356"/>
      <c r="P176" s="356"/>
      <c r="Q176" s="356"/>
      <c r="R176" s="357" t="s">
        <v>609</v>
      </c>
      <c r="S176" s="358"/>
      <c r="T176" s="356" t="s">
        <v>886</v>
      </c>
      <c r="U176" s="356" t="s">
        <v>766</v>
      </c>
      <c r="V176" s="356"/>
      <c r="W176" s="356"/>
      <c r="X176" s="356"/>
      <c r="Y176" s="356"/>
      <c r="Z176" s="356"/>
      <c r="AA176" s="356"/>
      <c r="AB176" s="356"/>
      <c r="AC176" s="356"/>
      <c r="AD176" s="356"/>
      <c r="AE176" s="356"/>
      <c r="AF176" s="356"/>
      <c r="AG176" s="357" t="s">
        <v>609</v>
      </c>
      <c r="AH176" s="360"/>
      <c r="AJ176" s="373"/>
      <c r="AK176" s="373"/>
    </row>
    <row r="177" spans="1:46" s="366" customFormat="1" ht="25.15" customHeight="1" x14ac:dyDescent="0.25">
      <c r="A177" s="368"/>
      <c r="B177" s="485" t="s">
        <v>887</v>
      </c>
      <c r="C177" s="485"/>
      <c r="D177" s="382">
        <v>21100</v>
      </c>
      <c r="E177" s="363">
        <v>240</v>
      </c>
      <c r="F177" s="36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3"/>
      <c r="R177" s="360"/>
      <c r="S177" s="358"/>
      <c r="T177" s="363">
        <v>240</v>
      </c>
      <c r="U177" s="363"/>
      <c r="V177" s="363"/>
      <c r="W177" s="363"/>
      <c r="X177" s="363"/>
      <c r="Y177" s="363"/>
      <c r="Z177" s="363"/>
      <c r="AA177" s="363"/>
      <c r="AB177" s="363"/>
      <c r="AC177" s="363"/>
      <c r="AD177" s="363"/>
      <c r="AE177" s="363"/>
      <c r="AF177" s="363"/>
      <c r="AG177" s="360"/>
      <c r="AH177" s="360"/>
      <c r="AI177" s="360"/>
      <c r="AJ177" s="360"/>
      <c r="AK177" s="360"/>
      <c r="AL177" s="383"/>
      <c r="AM177" s="383"/>
      <c r="AN177" s="383"/>
      <c r="AO177" s="353"/>
      <c r="AP177" s="353"/>
      <c r="AQ177" s="353"/>
      <c r="AR177" s="353"/>
      <c r="AS177" s="353"/>
      <c r="AT177" s="353"/>
    </row>
    <row r="178" spans="1:46" x14ac:dyDescent="0.25">
      <c r="C178" s="370" t="s">
        <v>883</v>
      </c>
      <c r="D178" s="371">
        <v>2296.14</v>
      </c>
      <c r="R178" s="374">
        <f>+SUM(E178:Q178)</f>
        <v>0</v>
      </c>
      <c r="AG178" s="374">
        <f>+SUM(T178:AE178)</f>
        <v>0</v>
      </c>
      <c r="AH178" s="376">
        <f>+S178-AG178</f>
        <v>0</v>
      </c>
      <c r="AJ178" s="373"/>
      <c r="AK178" s="373"/>
    </row>
    <row r="179" spans="1:46" x14ac:dyDescent="0.25">
      <c r="C179" s="370" t="s">
        <v>888</v>
      </c>
      <c r="D179" s="371">
        <v>57000</v>
      </c>
      <c r="E179" s="373">
        <v>57000</v>
      </c>
      <c r="R179" s="374">
        <f>+SUM(E179:Q179)</f>
        <v>57000</v>
      </c>
      <c r="T179" s="373">
        <v>57000</v>
      </c>
      <c r="AG179" s="374">
        <f>+SUM(T179:AE179)</f>
        <v>57000</v>
      </c>
      <c r="AH179" s="376">
        <f>+S179-AG179</f>
        <v>-57000</v>
      </c>
      <c r="AJ179" s="373"/>
      <c r="AK179" s="373"/>
    </row>
    <row r="180" spans="1:46" x14ac:dyDescent="0.25">
      <c r="C180" s="370" t="s">
        <v>889</v>
      </c>
      <c r="D180" s="380">
        <v>7000</v>
      </c>
      <c r="E180" s="373">
        <v>7000</v>
      </c>
      <c r="R180" s="374">
        <f>+SUM(E180:Q180)</f>
        <v>7000</v>
      </c>
      <c r="T180" s="373">
        <v>6624.18</v>
      </c>
      <c r="AG180" s="374">
        <f>+SUM(T180:AE180)</f>
        <v>6624.18</v>
      </c>
      <c r="AH180" s="376">
        <f>+S180-AG180</f>
        <v>-6624.18</v>
      </c>
      <c r="AJ180" s="373"/>
      <c r="AK180" s="373"/>
    </row>
    <row r="181" spans="1:46" x14ac:dyDescent="0.25">
      <c r="C181" s="370" t="s">
        <v>798</v>
      </c>
      <c r="D181" s="380">
        <v>42032</v>
      </c>
      <c r="E181" s="373">
        <v>40000</v>
      </c>
      <c r="R181" s="374">
        <f>+SUM(E181:Q181)</f>
        <v>40000</v>
      </c>
      <c r="T181" s="373">
        <v>9155.5300000000007</v>
      </c>
      <c r="U181" s="373">
        <v>-264.14</v>
      </c>
      <c r="AG181" s="374">
        <f>+SUM(T181:AE181)</f>
        <v>8891.3900000000012</v>
      </c>
      <c r="AH181" s="376">
        <f>+S181-AG181</f>
        <v>-8891.3900000000012</v>
      </c>
      <c r="AJ181" s="373"/>
      <c r="AK181" s="373"/>
    </row>
    <row r="182" spans="1:46" x14ac:dyDescent="0.25">
      <c r="C182" s="370" t="s">
        <v>890</v>
      </c>
      <c r="D182" s="380">
        <v>10000</v>
      </c>
      <c r="E182" s="373">
        <v>10000</v>
      </c>
      <c r="R182" s="374">
        <f>+SUM(E182:Q182)</f>
        <v>10000</v>
      </c>
      <c r="T182" s="373">
        <v>4568.76</v>
      </c>
      <c r="AG182" s="374">
        <f>+SUM(T182:AE182)</f>
        <v>4568.76</v>
      </c>
      <c r="AH182" s="376">
        <f>+S182-AG182</f>
        <v>-4568.76</v>
      </c>
      <c r="AJ182" s="373"/>
      <c r="AK182" s="373"/>
    </row>
    <row r="183" spans="1:46" s="368" customFormat="1" ht="2.65" customHeight="1" x14ac:dyDescent="0.25">
      <c r="D183" s="372"/>
      <c r="E183" s="372"/>
      <c r="F183" s="372"/>
      <c r="G183" s="372"/>
      <c r="H183" s="372"/>
      <c r="I183" s="372"/>
      <c r="J183" s="372"/>
      <c r="K183" s="372"/>
      <c r="L183" s="372"/>
      <c r="M183" s="372"/>
      <c r="N183" s="372"/>
      <c r="O183" s="372"/>
      <c r="P183" s="372"/>
      <c r="Q183" s="372"/>
      <c r="R183" s="372"/>
      <c r="S183" s="375"/>
      <c r="T183" s="372"/>
      <c r="U183" s="372"/>
      <c r="V183" s="372"/>
      <c r="W183" s="372"/>
      <c r="X183" s="372"/>
      <c r="Y183" s="372"/>
      <c r="Z183" s="372"/>
      <c r="AA183" s="372"/>
      <c r="AB183" s="372"/>
      <c r="AC183" s="372"/>
      <c r="AD183" s="372"/>
      <c r="AE183" s="372"/>
      <c r="AF183" s="372"/>
      <c r="AG183" s="372"/>
      <c r="AH183" s="375"/>
      <c r="AI183" s="372"/>
    </row>
    <row r="184" spans="1:46" x14ac:dyDescent="0.25">
      <c r="B184" s="487" t="s">
        <v>784</v>
      </c>
      <c r="C184" s="487"/>
      <c r="D184" s="356" t="s">
        <v>764</v>
      </c>
      <c r="E184" s="356" t="s">
        <v>891</v>
      </c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7" t="s">
        <v>609</v>
      </c>
      <c r="S184" s="358"/>
      <c r="T184" s="356" t="s">
        <v>891</v>
      </c>
      <c r="U184" s="356"/>
      <c r="V184" s="356"/>
      <c r="W184" s="356"/>
      <c r="X184" s="356"/>
      <c r="Y184" s="356"/>
      <c r="Z184" s="356"/>
      <c r="AA184" s="356"/>
      <c r="AB184" s="356"/>
      <c r="AC184" s="356"/>
      <c r="AD184" s="356"/>
      <c r="AE184" s="356"/>
      <c r="AF184" s="356"/>
      <c r="AG184" s="357" t="s">
        <v>609</v>
      </c>
      <c r="AH184" s="360"/>
      <c r="AJ184" s="373"/>
      <c r="AK184" s="373"/>
    </row>
    <row r="185" spans="1:46" s="366" customFormat="1" ht="25.15" customHeight="1" x14ac:dyDescent="0.2">
      <c r="A185" s="361"/>
      <c r="B185" s="485" t="s">
        <v>891</v>
      </c>
      <c r="C185" s="485"/>
      <c r="D185" s="382">
        <v>20100</v>
      </c>
      <c r="E185" s="363">
        <v>225</v>
      </c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0"/>
      <c r="S185" s="358"/>
      <c r="T185" s="363">
        <v>225</v>
      </c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0"/>
      <c r="AH185" s="360"/>
      <c r="AI185" s="360"/>
      <c r="AJ185" s="360"/>
      <c r="AK185" s="360"/>
      <c r="AL185" s="383"/>
      <c r="AM185" s="383"/>
      <c r="AN185" s="383"/>
      <c r="AO185" s="353"/>
      <c r="AP185" s="353"/>
      <c r="AQ185" s="353"/>
      <c r="AR185" s="353"/>
      <c r="AS185" s="353"/>
      <c r="AT185" s="353"/>
    </row>
    <row r="186" spans="1:46" x14ac:dyDescent="0.25">
      <c r="C186" s="370" t="s">
        <v>883</v>
      </c>
      <c r="D186" s="371">
        <v>4747</v>
      </c>
      <c r="R186" s="374">
        <f>+SUM(E186:Q186)</f>
        <v>0</v>
      </c>
      <c r="AG186" s="374">
        <f>+SUM(T186:AE186)</f>
        <v>0</v>
      </c>
      <c r="AH186" s="376">
        <f>+S186-AG186</f>
        <v>0</v>
      </c>
      <c r="AJ186" s="373"/>
      <c r="AK186" s="373"/>
    </row>
    <row r="187" spans="1:46" x14ac:dyDescent="0.25">
      <c r="C187" s="370" t="s">
        <v>892</v>
      </c>
      <c r="D187" s="371">
        <v>21000</v>
      </c>
      <c r="E187" s="373">
        <v>21000</v>
      </c>
      <c r="R187" s="374">
        <f>+SUM(E187:Q187)</f>
        <v>21000</v>
      </c>
      <c r="T187" s="373">
        <v>4068</v>
      </c>
      <c r="AG187" s="374">
        <f>+SUM(T187:AE187)</f>
        <v>4068</v>
      </c>
      <c r="AH187" s="376">
        <f>+S187-AG187</f>
        <v>-4068</v>
      </c>
      <c r="AJ187" s="373"/>
      <c r="AK187" s="373"/>
    </row>
    <row r="188" spans="1:46" x14ac:dyDescent="0.25">
      <c r="C188" s="370" t="s">
        <v>885</v>
      </c>
      <c r="D188" s="380">
        <v>21000</v>
      </c>
      <c r="E188" s="373">
        <v>21000</v>
      </c>
      <c r="R188" s="374">
        <f>+SUM(E188:Q188)</f>
        <v>21000</v>
      </c>
      <c r="T188" s="373">
        <v>2022.8</v>
      </c>
      <c r="AG188" s="374">
        <f>+SUM(T188:AE188)</f>
        <v>2022.8</v>
      </c>
      <c r="AH188" s="376">
        <f>+S188-AG188</f>
        <v>-2022.8</v>
      </c>
      <c r="AJ188" s="373"/>
      <c r="AK188" s="373"/>
    </row>
    <row r="189" spans="1:46" ht="2.65" customHeight="1" x14ac:dyDescent="0.25"/>
    <row r="194" spans="3:4" x14ac:dyDescent="0.25">
      <c r="C194" s="369">
        <v>70200</v>
      </c>
      <c r="D194" s="373">
        <f>U6</f>
        <v>28358</v>
      </c>
    </row>
    <row r="195" spans="3:4" x14ac:dyDescent="0.25">
      <c r="C195" s="369">
        <v>52400</v>
      </c>
      <c r="D195" s="373">
        <f>Z30</f>
        <v>10260</v>
      </c>
    </row>
    <row r="196" spans="3:4" x14ac:dyDescent="0.25">
      <c r="C196" s="369">
        <v>52300</v>
      </c>
      <c r="D196" s="373">
        <f>V41</f>
        <v>173882.56</v>
      </c>
    </row>
    <row r="197" spans="3:4" x14ac:dyDescent="0.25">
      <c r="C197" s="369">
        <v>52300</v>
      </c>
      <c r="D197" s="373">
        <f>W53*-1</f>
        <v>-12656</v>
      </c>
    </row>
    <row r="198" spans="3:4" x14ac:dyDescent="0.25">
      <c r="C198" s="369">
        <v>40400</v>
      </c>
      <c r="D198" s="373">
        <f>U66*-1</f>
        <v>-204895</v>
      </c>
    </row>
    <row r="199" spans="3:4" x14ac:dyDescent="0.25">
      <c r="C199" s="369">
        <v>40200</v>
      </c>
      <c r="D199" s="373">
        <f>W77*-1</f>
        <v>-1260693.8600000001</v>
      </c>
    </row>
    <row r="200" spans="3:4" x14ac:dyDescent="0.25">
      <c r="C200" s="369">
        <v>40100</v>
      </c>
      <c r="D200" s="373">
        <f>V87*-1</f>
        <v>-1927217.39</v>
      </c>
    </row>
    <row r="201" spans="3:4" x14ac:dyDescent="0.25">
      <c r="C201" s="369">
        <v>39900</v>
      </c>
      <c r="D201" s="373">
        <f>X94</f>
        <v>3474202</v>
      </c>
    </row>
    <row r="202" spans="3:4" x14ac:dyDescent="0.25">
      <c r="C202" s="369">
        <v>30100</v>
      </c>
      <c r="D202" s="373">
        <f>T126*-1</f>
        <v>-13923</v>
      </c>
    </row>
    <row r="203" spans="3:4" x14ac:dyDescent="0.25">
      <c r="C203" s="369">
        <v>29900</v>
      </c>
      <c r="D203" s="373">
        <f>V131</f>
        <v>10397.15</v>
      </c>
    </row>
    <row r="204" spans="3:4" x14ac:dyDescent="0.25">
      <c r="C204" s="369">
        <v>22300</v>
      </c>
      <c r="D204" s="373">
        <f>W157*-1</f>
        <v>-532.65</v>
      </c>
    </row>
    <row r="205" spans="3:4" x14ac:dyDescent="0.25">
      <c r="C205" s="369">
        <v>21800</v>
      </c>
      <c r="D205" s="373">
        <f>T162*-1</f>
        <v>-967954</v>
      </c>
    </row>
    <row r="206" spans="3:4" x14ac:dyDescent="0.25">
      <c r="C206" s="369">
        <v>21400</v>
      </c>
      <c r="D206" s="373">
        <f>U174*-1</f>
        <v>-2358.0700000000002</v>
      </c>
    </row>
    <row r="207" spans="3:4" x14ac:dyDescent="0.25">
      <c r="C207" s="369">
        <v>21100</v>
      </c>
      <c r="D207" s="373">
        <f>U181*-1</f>
        <v>264.14</v>
      </c>
    </row>
    <row r="208" spans="3:4" x14ac:dyDescent="0.25">
      <c r="C208" s="369">
        <v>20100</v>
      </c>
      <c r="D208" s="373">
        <v>48470.93</v>
      </c>
    </row>
    <row r="209" spans="4:4" x14ac:dyDescent="0.25">
      <c r="D209" s="373">
        <v>60500</v>
      </c>
    </row>
    <row r="210" spans="4:4" x14ac:dyDescent="0.25">
      <c r="D210" s="373">
        <v>3657.32</v>
      </c>
    </row>
  </sheetData>
  <mergeCells count="40">
    <mergeCell ref="B176:C176"/>
    <mergeCell ref="B177:C177"/>
    <mergeCell ref="B184:C184"/>
    <mergeCell ref="B185:C185"/>
    <mergeCell ref="B160:C160"/>
    <mergeCell ref="B161:C161"/>
    <mergeCell ref="B164:C164"/>
    <mergeCell ref="B165:C165"/>
    <mergeCell ref="B170:C170"/>
    <mergeCell ref="B171:C171"/>
    <mergeCell ref="B151:C151"/>
    <mergeCell ref="B110:C110"/>
    <mergeCell ref="B115:C115"/>
    <mergeCell ref="B116:C116"/>
    <mergeCell ref="B122:C122"/>
    <mergeCell ref="B128:C128"/>
    <mergeCell ref="B129:C129"/>
    <mergeCell ref="B139:C139"/>
    <mergeCell ref="B140:C140"/>
    <mergeCell ref="B145:C145"/>
    <mergeCell ref="B146:C146"/>
    <mergeCell ref="B150:C150"/>
    <mergeCell ref="B109:C109"/>
    <mergeCell ref="B56:C56"/>
    <mergeCell ref="B60:C60"/>
    <mergeCell ref="B61:C61"/>
    <mergeCell ref="B68:C68"/>
    <mergeCell ref="B69:C69"/>
    <mergeCell ref="B79:C79"/>
    <mergeCell ref="B80:C80"/>
    <mergeCell ref="B89:C89"/>
    <mergeCell ref="B90:C90"/>
    <mergeCell ref="B98:C98"/>
    <mergeCell ref="B99:C99"/>
    <mergeCell ref="B39:C39"/>
    <mergeCell ref="B3:C3"/>
    <mergeCell ref="B9:C9"/>
    <mergeCell ref="B26:C26"/>
    <mergeCell ref="B27:C27"/>
    <mergeCell ref="B38:C38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91053-E4EE-4FAC-B6D6-BB0E39A19B41}">
  <sheetPr>
    <pageSetUpPr fitToPage="1"/>
  </sheetPr>
  <dimension ref="B2:L40"/>
  <sheetViews>
    <sheetView topLeftCell="A11" workbookViewId="0">
      <selection activeCell="F17" sqref="F17"/>
    </sheetView>
  </sheetViews>
  <sheetFormatPr defaultColWidth="8.85546875" defaultRowHeight="15" x14ac:dyDescent="0.2"/>
  <cols>
    <col min="1" max="2" width="8.85546875" style="452"/>
    <col min="3" max="3" width="63.140625" style="452" bestFit="1" customWidth="1"/>
    <col min="4" max="4" width="14.7109375" style="456" bestFit="1" customWidth="1"/>
    <col min="5" max="5" width="14.42578125" style="452" customWidth="1"/>
    <col min="6" max="6" width="14.85546875" style="452" customWidth="1"/>
    <col min="7" max="8" width="8.85546875" style="452"/>
    <col min="9" max="11" width="25.28515625" style="454" customWidth="1"/>
    <col min="12" max="16384" width="8.85546875" style="452"/>
  </cols>
  <sheetData>
    <row r="2" spans="2:12" x14ac:dyDescent="0.2">
      <c r="D2" s="453"/>
    </row>
    <row r="3" spans="2:12" x14ac:dyDescent="0.2">
      <c r="B3" s="488" t="s">
        <v>953</v>
      </c>
      <c r="C3" s="488"/>
      <c r="D3" s="455">
        <v>1141106</v>
      </c>
      <c r="E3" s="456"/>
      <c r="F3" s="457"/>
    </row>
    <row r="4" spans="2:12" x14ac:dyDescent="0.2">
      <c r="C4" s="452" t="s">
        <v>908</v>
      </c>
      <c r="D4" s="464">
        <v>45479.86</v>
      </c>
      <c r="E4" s="456"/>
      <c r="F4" s="457"/>
      <c r="G4" s="458"/>
      <c r="H4" s="458"/>
      <c r="L4" s="458"/>
    </row>
    <row r="5" spans="2:12" x14ac:dyDescent="0.2">
      <c r="C5" s="452" t="s">
        <v>907</v>
      </c>
      <c r="D5" s="464">
        <v>2414.1999999999998</v>
      </c>
      <c r="E5" s="456"/>
      <c r="F5" s="457"/>
      <c r="G5" s="458"/>
      <c r="H5" s="458"/>
      <c r="L5" s="458"/>
    </row>
    <row r="6" spans="2:12" x14ac:dyDescent="0.2">
      <c r="C6" s="452" t="s">
        <v>906</v>
      </c>
      <c r="D6" s="464">
        <v>24099.63</v>
      </c>
      <c r="E6" s="456"/>
      <c r="F6" s="457"/>
      <c r="G6" s="458"/>
      <c r="H6" s="458"/>
      <c r="L6" s="458"/>
    </row>
    <row r="7" spans="2:12" x14ac:dyDescent="0.2">
      <c r="C7" s="452" t="s">
        <v>905</v>
      </c>
      <c r="D7" s="464">
        <v>19960.59</v>
      </c>
      <c r="E7" s="456"/>
      <c r="F7" s="457"/>
      <c r="G7" s="458"/>
      <c r="H7" s="458"/>
      <c r="L7" s="458"/>
    </row>
    <row r="8" spans="2:12" x14ac:dyDescent="0.2">
      <c r="C8" s="452" t="s">
        <v>904</v>
      </c>
      <c r="D8" s="464">
        <v>431685.43</v>
      </c>
      <c r="E8" s="456"/>
      <c r="F8" s="457"/>
      <c r="G8" s="458"/>
      <c r="H8" s="458"/>
      <c r="L8" s="458"/>
    </row>
    <row r="9" spans="2:12" x14ac:dyDescent="0.2">
      <c r="C9" s="452" t="s">
        <v>903</v>
      </c>
      <c r="D9" s="464">
        <v>12496.7</v>
      </c>
      <c r="E9" s="456"/>
      <c r="F9" s="457"/>
      <c r="G9" s="458"/>
      <c r="H9" s="458"/>
      <c r="L9" s="458"/>
    </row>
    <row r="10" spans="2:12" x14ac:dyDescent="0.2">
      <c r="C10" s="460" t="s">
        <v>954</v>
      </c>
      <c r="D10" s="464">
        <v>21753.65</v>
      </c>
      <c r="E10" s="456"/>
      <c r="F10" s="457"/>
      <c r="G10" s="458"/>
      <c r="H10" s="458"/>
      <c r="L10" s="458"/>
    </row>
    <row r="11" spans="2:12" x14ac:dyDescent="0.2">
      <c r="C11" s="460" t="s">
        <v>955</v>
      </c>
      <c r="D11" s="464">
        <v>14400</v>
      </c>
      <c r="E11" s="456"/>
      <c r="F11" s="457"/>
      <c r="G11" s="458"/>
      <c r="H11" s="458"/>
      <c r="L11" s="458"/>
    </row>
    <row r="12" spans="2:12" x14ac:dyDescent="0.2">
      <c r="C12" s="460" t="s">
        <v>956</v>
      </c>
      <c r="D12" s="464">
        <v>700</v>
      </c>
      <c r="E12" s="456"/>
      <c r="F12" s="457"/>
      <c r="G12" s="458"/>
      <c r="H12" s="458"/>
      <c r="L12" s="458"/>
    </row>
    <row r="13" spans="2:12" x14ac:dyDescent="0.2">
      <c r="C13" s="460" t="s">
        <v>957</v>
      </c>
      <c r="D13" s="464">
        <v>7639.77</v>
      </c>
      <c r="E13" s="456"/>
      <c r="F13" s="457"/>
      <c r="G13" s="458"/>
      <c r="H13" s="458"/>
      <c r="L13" s="458"/>
    </row>
    <row r="14" spans="2:12" x14ac:dyDescent="0.2">
      <c r="C14" s="460" t="s">
        <v>958</v>
      </c>
      <c r="D14" s="464">
        <v>99500</v>
      </c>
      <c r="E14" s="456"/>
      <c r="F14" s="457"/>
      <c r="G14" s="458"/>
      <c r="H14" s="458"/>
      <c r="L14" s="458"/>
    </row>
    <row r="15" spans="2:12" x14ac:dyDescent="0.2">
      <c r="C15" s="470" t="s">
        <v>971</v>
      </c>
      <c r="D15" s="471">
        <v>75000</v>
      </c>
      <c r="E15" s="456"/>
      <c r="F15" s="457"/>
      <c r="G15" s="458"/>
      <c r="H15" s="458"/>
      <c r="L15" s="458"/>
    </row>
    <row r="16" spans="2:12" x14ac:dyDescent="0.2">
      <c r="C16" s="459" t="s">
        <v>942</v>
      </c>
      <c r="D16" s="464">
        <v>112024.14</v>
      </c>
      <c r="E16" s="456"/>
      <c r="F16" s="457"/>
      <c r="G16" s="458"/>
      <c r="H16" s="458"/>
      <c r="L16" s="458"/>
    </row>
    <row r="17" spans="2:12" x14ac:dyDescent="0.2">
      <c r="C17" s="459"/>
      <c r="D17" s="453"/>
      <c r="E17" s="456"/>
      <c r="F17" s="457"/>
      <c r="G17" s="458"/>
      <c r="H17" s="458"/>
      <c r="L17" s="458"/>
    </row>
    <row r="18" spans="2:12" x14ac:dyDescent="0.2">
      <c r="B18" s="488" t="s">
        <v>909</v>
      </c>
      <c r="C18" s="488"/>
      <c r="D18" s="462">
        <f>+D3-SUM(D4:D16)</f>
        <v>273952.03000000003</v>
      </c>
      <c r="E18" s="456"/>
      <c r="F18" s="457"/>
      <c r="G18" s="458"/>
      <c r="H18" s="458"/>
      <c r="L18" s="458"/>
    </row>
    <row r="19" spans="2:12" x14ac:dyDescent="0.2">
      <c r="D19" s="453"/>
      <c r="E19" s="456"/>
      <c r="F19" s="458"/>
      <c r="G19" s="458"/>
      <c r="H19" s="458"/>
      <c r="L19" s="458"/>
    </row>
    <row r="20" spans="2:12" x14ac:dyDescent="0.2">
      <c r="B20" s="488" t="s">
        <v>952</v>
      </c>
      <c r="C20" s="488"/>
      <c r="D20" s="455">
        <v>1141106</v>
      </c>
      <c r="E20" s="456"/>
      <c r="F20" s="458"/>
      <c r="G20" s="458"/>
      <c r="H20" s="458"/>
      <c r="L20" s="458"/>
    </row>
    <row r="21" spans="2:12" x14ac:dyDescent="0.2">
      <c r="C21" s="460" t="s">
        <v>959</v>
      </c>
      <c r="D21" s="463">
        <v>113799.91</v>
      </c>
      <c r="E21" s="456"/>
      <c r="F21" s="457"/>
      <c r="G21" s="458"/>
      <c r="H21" s="458"/>
      <c r="L21" s="458"/>
    </row>
    <row r="22" spans="2:12" x14ac:dyDescent="0.2">
      <c r="C22" s="452" t="s">
        <v>902</v>
      </c>
      <c r="D22" s="463">
        <v>11515.38</v>
      </c>
      <c r="E22" s="456"/>
      <c r="F22" s="457"/>
      <c r="G22" s="458"/>
      <c r="H22" s="458"/>
      <c r="L22" s="458"/>
    </row>
    <row r="23" spans="2:12" x14ac:dyDescent="0.2">
      <c r="C23" s="452" t="s">
        <v>901</v>
      </c>
      <c r="D23" s="453">
        <v>21753.65</v>
      </c>
      <c r="E23" s="456"/>
      <c r="F23" s="457"/>
      <c r="G23" s="458"/>
      <c r="H23" s="458"/>
      <c r="L23" s="458"/>
    </row>
    <row r="24" spans="2:12" x14ac:dyDescent="0.2">
      <c r="C24" s="470" t="s">
        <v>970</v>
      </c>
      <c r="D24" s="453">
        <v>150000</v>
      </c>
      <c r="E24" s="456"/>
      <c r="F24" s="457"/>
      <c r="G24" s="458"/>
      <c r="H24" s="458"/>
      <c r="L24" s="458"/>
    </row>
    <row r="25" spans="2:12" x14ac:dyDescent="0.2">
      <c r="C25" s="452" t="s">
        <v>900</v>
      </c>
      <c r="D25" s="463">
        <v>150000</v>
      </c>
      <c r="E25" s="456"/>
      <c r="F25" s="457"/>
      <c r="G25" s="458"/>
      <c r="H25" s="458"/>
      <c r="L25" s="458"/>
    </row>
    <row r="26" spans="2:12" x14ac:dyDescent="0.2">
      <c r="C26" s="470" t="s">
        <v>969</v>
      </c>
      <c r="D26" s="453">
        <v>80000</v>
      </c>
      <c r="E26" s="456"/>
      <c r="F26" s="457"/>
      <c r="G26" s="458"/>
      <c r="H26" s="458"/>
      <c r="L26" s="458"/>
    </row>
    <row r="27" spans="2:12" x14ac:dyDescent="0.2">
      <c r="C27" s="470" t="s">
        <v>968</v>
      </c>
      <c r="D27" s="453">
        <v>250000</v>
      </c>
      <c r="E27" s="456"/>
      <c r="F27" s="457"/>
      <c r="G27" s="458"/>
      <c r="H27" s="458"/>
      <c r="L27" s="458"/>
    </row>
    <row r="28" spans="2:12" x14ac:dyDescent="0.2">
      <c r="C28" s="452" t="s">
        <v>899</v>
      </c>
      <c r="D28" s="453">
        <v>47412</v>
      </c>
      <c r="E28" s="456"/>
      <c r="F28" s="457"/>
      <c r="G28" s="458"/>
      <c r="H28" s="458"/>
      <c r="L28" s="458"/>
    </row>
    <row r="29" spans="2:12" x14ac:dyDescent="0.2">
      <c r="C29" s="460" t="s">
        <v>949</v>
      </c>
      <c r="D29" s="463">
        <v>160000</v>
      </c>
      <c r="E29" s="456"/>
      <c r="F29" s="457"/>
      <c r="G29" s="458"/>
      <c r="H29" s="458"/>
      <c r="L29" s="458"/>
    </row>
    <row r="30" spans="2:12" x14ac:dyDescent="0.2">
      <c r="C30" s="460" t="s">
        <v>948</v>
      </c>
      <c r="D30" s="463">
        <f>24620.11+30834.52</f>
        <v>55454.630000000005</v>
      </c>
      <c r="E30" s="456"/>
      <c r="G30" s="458"/>
      <c r="H30" s="458"/>
      <c r="L30" s="458"/>
    </row>
    <row r="31" spans="2:12" x14ac:dyDescent="0.2">
      <c r="C31" s="460" t="s">
        <v>960</v>
      </c>
      <c r="D31" s="463">
        <v>95505.14</v>
      </c>
      <c r="E31" s="456"/>
      <c r="F31" s="457"/>
      <c r="G31" s="458"/>
      <c r="H31" s="458"/>
      <c r="L31" s="458"/>
    </row>
    <row r="32" spans="2:12" x14ac:dyDescent="0.2">
      <c r="D32" s="453"/>
      <c r="E32" s="456"/>
      <c r="F32" s="458"/>
      <c r="G32" s="458"/>
      <c r="H32" s="458"/>
      <c r="L32" s="458"/>
    </row>
    <row r="33" spans="2:12" x14ac:dyDescent="0.2">
      <c r="B33" s="488" t="s">
        <v>909</v>
      </c>
      <c r="C33" s="489"/>
      <c r="D33" s="462">
        <f>+D20-SUM(D21:D31)</f>
        <v>5665.2900000000373</v>
      </c>
      <c r="E33" s="456"/>
      <c r="F33" s="458"/>
      <c r="G33" s="458"/>
      <c r="H33" s="458"/>
      <c r="L33" s="458"/>
    </row>
    <row r="34" spans="2:12" x14ac:dyDescent="0.2">
      <c r="D34" s="453"/>
      <c r="E34" s="456"/>
      <c r="F34" s="458"/>
      <c r="G34" s="458"/>
      <c r="H34" s="458"/>
      <c r="L34" s="458"/>
    </row>
    <row r="35" spans="2:12" x14ac:dyDescent="0.2">
      <c r="B35" s="488" t="s">
        <v>951</v>
      </c>
      <c r="C35" s="488"/>
      <c r="D35" s="453">
        <f>+D20+D3</f>
        <v>2282212</v>
      </c>
      <c r="E35" s="456"/>
      <c r="F35" s="461"/>
    </row>
    <row r="36" spans="2:12" x14ac:dyDescent="0.2">
      <c r="B36" s="488" t="s">
        <v>950</v>
      </c>
      <c r="C36" s="488"/>
      <c r="D36" s="456">
        <f>+D33+D18</f>
        <v>279617.32000000007</v>
      </c>
    </row>
    <row r="40" spans="2:12" x14ac:dyDescent="0.2">
      <c r="F40" s="457"/>
    </row>
  </sheetData>
  <mergeCells count="6">
    <mergeCell ref="B3:C3"/>
    <mergeCell ref="B18:C18"/>
    <mergeCell ref="B20:C20"/>
    <mergeCell ref="B35:C35"/>
    <mergeCell ref="B36:C36"/>
    <mergeCell ref="B33:C33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Z116"/>
  <sheetViews>
    <sheetView topLeftCell="A22" zoomScale="85" zoomScaleNormal="85" workbookViewId="0">
      <pane xSplit="2" topLeftCell="E1" activePane="topRight" state="frozen"/>
      <selection pane="topRight" activeCell="P2" sqref="P2"/>
    </sheetView>
  </sheetViews>
  <sheetFormatPr defaultColWidth="9.140625" defaultRowHeight="15" x14ac:dyDescent="0.25"/>
  <cols>
    <col min="1" max="1" width="7.7109375" style="130" bestFit="1" customWidth="1"/>
    <col min="2" max="2" width="25.28515625" style="120" customWidth="1"/>
    <col min="3" max="3" width="29.42578125" style="120" customWidth="1"/>
    <col min="4" max="4" width="41.7109375" style="120" customWidth="1"/>
    <col min="5" max="5" width="13.7109375" style="120" customWidth="1"/>
    <col min="6" max="6" width="10.5703125" style="139" customWidth="1"/>
    <col min="7" max="7" width="7.85546875" style="134" bestFit="1" customWidth="1"/>
    <col min="8" max="8" width="8.140625" style="134" customWidth="1"/>
    <col min="9" max="10" width="11.7109375" style="121" customWidth="1"/>
    <col min="11" max="11" width="12.7109375" style="136" hidden="1" customWidth="1"/>
    <col min="12" max="12" width="16.7109375" style="174" bestFit="1" customWidth="1"/>
    <col min="13" max="13" width="22.140625" style="121" bestFit="1" customWidth="1"/>
    <col min="14" max="14" width="11" style="121" customWidth="1"/>
    <col min="15" max="15" width="9.28515625" style="121" customWidth="1"/>
    <col min="16" max="16" width="11.5703125" style="121" bestFit="1" customWidth="1"/>
    <col min="17" max="17" width="11" style="121" customWidth="1"/>
    <col min="18" max="18" width="14.5703125" style="121" bestFit="1" customWidth="1"/>
    <col min="19" max="19" width="11.7109375" style="121" customWidth="1"/>
    <col min="20" max="20" width="14.7109375" style="121" bestFit="1" customWidth="1"/>
    <col min="21" max="21" width="11.140625" style="121" customWidth="1"/>
    <col min="22" max="22" width="16.5703125" style="121" bestFit="1" customWidth="1"/>
    <col min="23" max="23" width="9.140625" style="120"/>
    <col min="24" max="24" width="12.5703125" style="120" bestFit="1" customWidth="1"/>
    <col min="25" max="25" width="13.140625" style="120" customWidth="1"/>
    <col min="26" max="26" width="12.85546875" style="120" bestFit="1" customWidth="1"/>
    <col min="27" max="16384" width="9.140625" style="120"/>
  </cols>
  <sheetData>
    <row r="1" spans="1:26" s="108" customFormat="1" ht="60" customHeight="1" x14ac:dyDescent="0.25">
      <c r="A1" s="100"/>
      <c r="B1" s="101" t="s">
        <v>591</v>
      </c>
      <c r="C1" s="101" t="s">
        <v>592</v>
      </c>
      <c r="D1" s="101" t="s">
        <v>593</v>
      </c>
      <c r="E1" s="101" t="s">
        <v>594</v>
      </c>
      <c r="F1" s="102" t="s">
        <v>595</v>
      </c>
      <c r="G1" s="103" t="s">
        <v>596</v>
      </c>
      <c r="H1" s="103" t="s">
        <v>597</v>
      </c>
      <c r="I1" s="104" t="s">
        <v>598</v>
      </c>
      <c r="J1" s="104" t="s">
        <v>599</v>
      </c>
      <c r="K1" s="105" t="s">
        <v>600</v>
      </c>
      <c r="L1" s="104" t="s">
        <v>601</v>
      </c>
      <c r="M1" s="106" t="s">
        <v>201</v>
      </c>
      <c r="N1" s="104" t="s">
        <v>602</v>
      </c>
      <c r="O1" s="475" t="s">
        <v>603</v>
      </c>
      <c r="P1" s="475"/>
      <c r="Q1" s="104" t="s">
        <v>604</v>
      </c>
      <c r="R1" s="104" t="s">
        <v>605</v>
      </c>
      <c r="S1" s="104" t="s">
        <v>606</v>
      </c>
      <c r="T1" s="104" t="s">
        <v>607</v>
      </c>
      <c r="U1" s="104" t="s">
        <v>608</v>
      </c>
      <c r="V1" s="107" t="s">
        <v>609</v>
      </c>
    </row>
    <row r="2" spans="1:26" x14ac:dyDescent="0.25">
      <c r="A2" s="109"/>
      <c r="B2" s="110"/>
      <c r="C2" s="110"/>
      <c r="D2" s="110"/>
      <c r="E2" s="110"/>
      <c r="F2" s="111"/>
      <c r="G2" s="112"/>
      <c r="H2" s="112"/>
      <c r="I2" s="113"/>
      <c r="J2" s="113"/>
      <c r="K2" s="114"/>
      <c r="L2" s="115"/>
      <c r="M2" s="116"/>
      <c r="N2" s="117"/>
      <c r="O2" s="118">
        <v>0.09</v>
      </c>
      <c r="P2" s="119">
        <v>0.1115</v>
      </c>
      <c r="Q2" s="117"/>
      <c r="R2" s="117"/>
      <c r="S2" s="117"/>
      <c r="T2" s="117"/>
      <c r="U2" s="117"/>
      <c r="V2" s="117"/>
      <c r="Y2" s="121"/>
    </row>
    <row r="3" spans="1:26" x14ac:dyDescent="0.25">
      <c r="A3" s="122"/>
      <c r="B3" s="123" t="s">
        <v>610</v>
      </c>
      <c r="C3" s="124"/>
      <c r="D3" s="124"/>
      <c r="E3" s="124"/>
      <c r="F3" s="125"/>
      <c r="G3" s="126"/>
      <c r="H3" s="126"/>
      <c r="I3" s="127"/>
      <c r="J3" s="127"/>
      <c r="K3" s="128"/>
      <c r="L3" s="129"/>
      <c r="M3" s="127"/>
      <c r="N3" s="127"/>
      <c r="O3" s="127"/>
      <c r="P3" s="127"/>
      <c r="Q3" s="127"/>
      <c r="R3" s="127"/>
      <c r="S3" s="127"/>
      <c r="T3" s="127"/>
      <c r="U3" s="127"/>
      <c r="V3" s="127"/>
      <c r="Y3" s="121"/>
    </row>
    <row r="4" spans="1:26" x14ac:dyDescent="0.25">
      <c r="A4" s="130">
        <v>1</v>
      </c>
      <c r="B4" s="131" t="s">
        <v>611</v>
      </c>
      <c r="C4" s="120" t="s">
        <v>612</v>
      </c>
      <c r="D4" s="132" t="s">
        <v>613</v>
      </c>
      <c r="E4" s="120" t="s">
        <v>614</v>
      </c>
      <c r="F4" s="133">
        <v>15.5</v>
      </c>
      <c r="G4" s="134">
        <v>80</v>
      </c>
      <c r="H4" s="134">
        <v>26</v>
      </c>
      <c r="I4" s="135">
        <v>15.5</v>
      </c>
      <c r="J4" s="135">
        <v>16</v>
      </c>
      <c r="K4" s="136">
        <v>0</v>
      </c>
      <c r="L4" s="137">
        <f>+J4*H4*G4</f>
        <v>33280</v>
      </c>
      <c r="M4" s="135">
        <f>+L4*1.45%</f>
        <v>482.55999999999995</v>
      </c>
      <c r="N4" s="135">
        <f>+L4*0.35%</f>
        <v>116.47999999999999</v>
      </c>
      <c r="O4" s="476">
        <f>+L4*O$2</f>
        <v>2995.2</v>
      </c>
      <c r="P4" s="476"/>
      <c r="Q4" s="135">
        <v>10.87</v>
      </c>
      <c r="R4" s="135">
        <f>215.97*24</f>
        <v>5183.28</v>
      </c>
      <c r="S4" s="135">
        <f>29.96*12</f>
        <v>359.52</v>
      </c>
      <c r="T4" s="135">
        <f>6.46*12</f>
        <v>77.52</v>
      </c>
      <c r="U4" s="135">
        <v>132</v>
      </c>
      <c r="V4" s="135">
        <f>SUM(L4:U4)</f>
        <v>42637.429999999993</v>
      </c>
      <c r="X4" s="138"/>
      <c r="Y4" s="121"/>
    </row>
    <row r="5" spans="1:26" x14ac:dyDescent="0.25">
      <c r="A5" s="130">
        <v>2</v>
      </c>
      <c r="B5" s="120" t="s">
        <v>615</v>
      </c>
      <c r="C5" s="120" t="s">
        <v>612</v>
      </c>
      <c r="D5" s="132" t="s">
        <v>616</v>
      </c>
      <c r="E5" s="120" t="s">
        <v>617</v>
      </c>
      <c r="F5" s="139">
        <v>12.04</v>
      </c>
      <c r="G5" s="134">
        <v>80</v>
      </c>
      <c r="H5" s="134">
        <v>26</v>
      </c>
      <c r="I5" s="135">
        <f>+F5*K5+F5</f>
        <v>15.248659999999999</v>
      </c>
      <c r="J5" s="135">
        <v>15.75</v>
      </c>
      <c r="K5" s="140">
        <v>0.26650000000000001</v>
      </c>
      <c r="L5" s="137">
        <f>+J5*H5*G5</f>
        <v>32760</v>
      </c>
      <c r="M5" s="135">
        <f>+L5*1.45%</f>
        <v>475.02</v>
      </c>
      <c r="N5" s="135">
        <f>+L5*0.35%</f>
        <v>114.65999999999998</v>
      </c>
      <c r="O5" s="476">
        <f>+L5*O$2</f>
        <v>2948.4</v>
      </c>
      <c r="P5" s="476"/>
      <c r="Q5" s="135">
        <v>10.87</v>
      </c>
      <c r="R5" s="135">
        <v>0</v>
      </c>
      <c r="S5" s="135">
        <v>0</v>
      </c>
      <c r="T5" s="135">
        <v>0</v>
      </c>
      <c r="U5" s="135">
        <v>132</v>
      </c>
      <c r="V5" s="135">
        <f>SUM(L5:U5)</f>
        <v>36440.950000000004</v>
      </c>
      <c r="X5" s="138"/>
      <c r="Y5" s="121"/>
    </row>
    <row r="6" spans="1:26" x14ac:dyDescent="0.25">
      <c r="A6" s="141">
        <v>3</v>
      </c>
      <c r="B6" s="131" t="s">
        <v>618</v>
      </c>
      <c r="C6" s="120" t="s">
        <v>612</v>
      </c>
      <c r="D6" s="132" t="s">
        <v>619</v>
      </c>
      <c r="E6" s="120" t="s">
        <v>617</v>
      </c>
      <c r="F6" s="139">
        <v>11.5</v>
      </c>
      <c r="G6" s="134">
        <v>80</v>
      </c>
      <c r="H6" s="134">
        <v>26</v>
      </c>
      <c r="I6" s="135">
        <f>+F6*K6+F6</f>
        <v>13.9955</v>
      </c>
      <c r="J6" s="135">
        <v>14.5</v>
      </c>
      <c r="K6" s="142">
        <v>0.217</v>
      </c>
      <c r="L6" s="137">
        <f>+J6*H6*G6</f>
        <v>30160</v>
      </c>
      <c r="M6" s="135">
        <f>+L6*1.45%</f>
        <v>437.32</v>
      </c>
      <c r="N6" s="135">
        <f>+L6*0.35%</f>
        <v>105.55999999999999</v>
      </c>
      <c r="O6" s="476">
        <f>+L6*O$2</f>
        <v>2714.4</v>
      </c>
      <c r="P6" s="476"/>
      <c r="Q6" s="121">
        <v>10.87</v>
      </c>
      <c r="R6" s="121">
        <v>0</v>
      </c>
      <c r="S6" s="121">
        <v>0</v>
      </c>
      <c r="T6" s="121">
        <v>0</v>
      </c>
      <c r="U6" s="121">
        <v>132</v>
      </c>
      <c r="V6" s="121">
        <f>SUM(L6:U6)</f>
        <v>33560.15</v>
      </c>
      <c r="X6" s="138"/>
      <c r="Y6" s="121"/>
      <c r="Z6" s="138"/>
    </row>
    <row r="7" spans="1:26" x14ac:dyDescent="0.25">
      <c r="A7" s="143"/>
      <c r="B7" s="144"/>
      <c r="C7" s="144"/>
      <c r="D7" s="145"/>
      <c r="E7" s="144"/>
      <c r="F7" s="146"/>
      <c r="G7" s="147"/>
      <c r="H7" s="147"/>
      <c r="I7" s="148"/>
      <c r="J7" s="148"/>
      <c r="K7" s="149"/>
      <c r="L7" s="150">
        <f t="shared" ref="L7:T7" si="0">+SUM(L4:L6)</f>
        <v>96200</v>
      </c>
      <c r="M7" s="150">
        <f t="shared" si="0"/>
        <v>1394.8999999999999</v>
      </c>
      <c r="N7" s="150">
        <f t="shared" si="0"/>
        <v>336.7</v>
      </c>
      <c r="O7" s="150"/>
      <c r="P7" s="150">
        <f>+O4+O5+O6</f>
        <v>8658</v>
      </c>
      <c r="Q7" s="150">
        <f t="shared" si="0"/>
        <v>32.61</v>
      </c>
      <c r="R7" s="150">
        <f t="shared" si="0"/>
        <v>5183.28</v>
      </c>
      <c r="S7" s="150">
        <f t="shared" si="0"/>
        <v>359.52</v>
      </c>
      <c r="T7" s="150">
        <f t="shared" si="0"/>
        <v>77.52</v>
      </c>
      <c r="U7" s="150">
        <f>+SUM(U4:U6)</f>
        <v>396</v>
      </c>
      <c r="V7" s="150">
        <f>+SUM(V4:V6)</f>
        <v>112638.53</v>
      </c>
      <c r="X7" s="138"/>
      <c r="Y7" s="121"/>
    </row>
    <row r="8" spans="1:26" x14ac:dyDescent="0.25">
      <c r="A8" s="151"/>
      <c r="B8" s="152" t="s">
        <v>620</v>
      </c>
      <c r="C8" s="152"/>
      <c r="D8" s="153"/>
      <c r="E8" s="154"/>
      <c r="F8" s="155"/>
      <c r="G8" s="156"/>
      <c r="H8" s="156"/>
      <c r="I8" s="157"/>
      <c r="J8" s="157"/>
      <c r="K8" s="158"/>
      <c r="L8" s="159"/>
      <c r="M8" s="157"/>
      <c r="N8" s="157"/>
      <c r="O8" s="160"/>
      <c r="P8" s="160"/>
      <c r="Q8" s="157"/>
      <c r="R8" s="157"/>
      <c r="S8" s="157"/>
      <c r="T8" s="157"/>
      <c r="U8" s="157"/>
      <c r="V8" s="157"/>
      <c r="X8" s="138"/>
      <c r="Y8" s="121"/>
    </row>
    <row r="9" spans="1:26" x14ac:dyDescent="0.25">
      <c r="A9" s="130">
        <v>4</v>
      </c>
      <c r="B9" s="120" t="s">
        <v>621</v>
      </c>
      <c r="C9" s="120" t="s">
        <v>622</v>
      </c>
      <c r="D9" s="132" t="s">
        <v>623</v>
      </c>
      <c r="E9" s="120" t="s">
        <v>624</v>
      </c>
      <c r="F9" s="139">
        <v>1200</v>
      </c>
      <c r="G9" s="134">
        <v>1</v>
      </c>
      <c r="H9" s="134">
        <v>12</v>
      </c>
      <c r="I9" s="135">
        <f>(K9*F9)+F9</f>
        <v>1380</v>
      </c>
      <c r="J9" s="135">
        <v>1380</v>
      </c>
      <c r="K9" s="161">
        <v>0.15</v>
      </c>
      <c r="L9" s="137">
        <f>+J9*H9*G9</f>
        <v>16560</v>
      </c>
      <c r="M9" s="135">
        <f>+L9*7.65%</f>
        <v>1266.8399999999999</v>
      </c>
      <c r="N9" s="135">
        <v>0</v>
      </c>
      <c r="O9" s="476">
        <v>0</v>
      </c>
      <c r="P9" s="476"/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f>SUM(L9:U9)</f>
        <v>17826.84</v>
      </c>
      <c r="X9" s="138"/>
      <c r="Y9" s="121"/>
    </row>
    <row r="10" spans="1:26" x14ac:dyDescent="0.25">
      <c r="A10" s="143"/>
      <c r="B10" s="144"/>
      <c r="C10" s="144"/>
      <c r="D10" s="144"/>
      <c r="E10" s="144"/>
      <c r="F10" s="146"/>
      <c r="G10" s="147"/>
      <c r="H10" s="147"/>
      <c r="I10" s="148"/>
      <c r="J10" s="148"/>
      <c r="K10" s="149"/>
      <c r="L10" s="162">
        <f>+L9</f>
        <v>16560</v>
      </c>
      <c r="M10" s="163">
        <f>+M9</f>
        <v>1266.8399999999999</v>
      </c>
      <c r="N10" s="163">
        <v>0</v>
      </c>
      <c r="O10" s="477">
        <v>0</v>
      </c>
      <c r="P10" s="477"/>
      <c r="Q10" s="163"/>
      <c r="R10" s="163">
        <v>0</v>
      </c>
      <c r="S10" s="163">
        <v>0</v>
      </c>
      <c r="T10" s="163">
        <v>0</v>
      </c>
      <c r="U10" s="163">
        <v>0</v>
      </c>
      <c r="V10" s="163">
        <f>+V9</f>
        <v>17826.84</v>
      </c>
      <c r="X10" s="138"/>
      <c r="Y10" s="121"/>
    </row>
    <row r="11" spans="1:26" x14ac:dyDescent="0.25">
      <c r="A11" s="164"/>
      <c r="B11" s="165" t="s">
        <v>625</v>
      </c>
      <c r="C11" s="166"/>
      <c r="D11" s="167"/>
      <c r="E11" s="166"/>
      <c r="F11" s="168"/>
      <c r="G11" s="169"/>
      <c r="H11" s="169"/>
      <c r="I11" s="170"/>
      <c r="J11" s="170"/>
      <c r="K11" s="171"/>
      <c r="L11" s="172"/>
      <c r="M11" s="170"/>
      <c r="N11" s="170"/>
      <c r="O11" s="173"/>
      <c r="P11" s="173"/>
      <c r="Q11" s="170"/>
      <c r="R11" s="170"/>
      <c r="S11" s="170"/>
      <c r="T11" s="170"/>
      <c r="U11" s="170"/>
      <c r="V11" s="170"/>
      <c r="X11" s="138"/>
      <c r="Y11" s="121"/>
    </row>
    <row r="12" spans="1:26" x14ac:dyDescent="0.25">
      <c r="A12" s="130">
        <v>5</v>
      </c>
      <c r="B12" s="120" t="s">
        <v>626</v>
      </c>
      <c r="C12" s="120" t="s">
        <v>612</v>
      </c>
      <c r="D12" s="132" t="s">
        <v>627</v>
      </c>
      <c r="E12" s="120" t="s">
        <v>617</v>
      </c>
      <c r="F12" s="139">
        <v>25.12</v>
      </c>
      <c r="G12" s="134">
        <v>80</v>
      </c>
      <c r="H12" s="134">
        <v>26</v>
      </c>
      <c r="I12" s="135">
        <f>(F12*K12)+F12</f>
        <v>27.252688000000003</v>
      </c>
      <c r="J12" s="135">
        <v>27.75</v>
      </c>
      <c r="K12" s="136">
        <v>8.4900000000000003E-2</v>
      </c>
      <c r="L12" s="174">
        <f>+J12*H12*G12</f>
        <v>57720</v>
      </c>
      <c r="M12" s="135">
        <f>+L12*1.45%</f>
        <v>836.93999999999994</v>
      </c>
      <c r="N12" s="121">
        <f>+L12*0.35%</f>
        <v>202.01999999999998</v>
      </c>
      <c r="O12" s="478">
        <f>+L12*O$2</f>
        <v>5194.8</v>
      </c>
      <c r="P12" s="478"/>
      <c r="Q12" s="121">
        <v>10.87</v>
      </c>
      <c r="R12" s="121">
        <v>0</v>
      </c>
      <c r="S12" s="121">
        <f>63.53*12</f>
        <v>762.36</v>
      </c>
      <c r="T12" s="121">
        <f>11.26*12</f>
        <v>135.12</v>
      </c>
      <c r="U12" s="121">
        <v>132</v>
      </c>
      <c r="V12" s="121">
        <f>SUM(L12:U12)</f>
        <v>64994.110000000008</v>
      </c>
      <c r="X12" s="138"/>
      <c r="Y12" s="121"/>
    </row>
    <row r="13" spans="1:26" x14ac:dyDescent="0.25">
      <c r="A13" s="130">
        <v>6</v>
      </c>
      <c r="B13" s="120" t="s">
        <v>628</v>
      </c>
      <c r="C13" s="120" t="s">
        <v>612</v>
      </c>
      <c r="D13" s="132" t="s">
        <v>629</v>
      </c>
      <c r="E13" s="120" t="s">
        <v>617</v>
      </c>
      <c r="F13" s="139">
        <v>19.89</v>
      </c>
      <c r="G13" s="134">
        <v>80</v>
      </c>
      <c r="H13" s="134">
        <v>26</v>
      </c>
      <c r="I13" s="135">
        <v>22.08</v>
      </c>
      <c r="J13" s="135">
        <v>22.58</v>
      </c>
      <c r="K13" s="136">
        <v>8.4900000000000003E-2</v>
      </c>
      <c r="L13" s="174">
        <f>+J13*H13*G13</f>
        <v>46966.399999999994</v>
      </c>
      <c r="M13" s="135">
        <f>+L13*1.45%</f>
        <v>681.01279999999986</v>
      </c>
      <c r="N13" s="121">
        <f>+L13*0.35%</f>
        <v>164.38239999999996</v>
      </c>
      <c r="O13" s="478">
        <f>+L13*O$2</f>
        <v>4226.9759999999997</v>
      </c>
      <c r="P13" s="478"/>
      <c r="Q13" s="135">
        <v>10.87</v>
      </c>
      <c r="R13" s="135">
        <v>0</v>
      </c>
      <c r="S13" s="135">
        <v>0</v>
      </c>
      <c r="T13" s="135">
        <v>0</v>
      </c>
      <c r="U13" s="135">
        <v>132</v>
      </c>
      <c r="V13" s="121">
        <f>SUM(L13:U13)</f>
        <v>52181.641199999998</v>
      </c>
      <c r="X13" s="138"/>
      <c r="Y13" s="121"/>
    </row>
    <row r="14" spans="1:26" x14ac:dyDescent="0.25">
      <c r="A14" s="130">
        <v>7</v>
      </c>
      <c r="B14" s="120" t="s">
        <v>630</v>
      </c>
      <c r="C14" s="120" t="s">
        <v>612</v>
      </c>
      <c r="D14" s="132" t="s">
        <v>631</v>
      </c>
      <c r="E14" s="120" t="s">
        <v>617</v>
      </c>
      <c r="F14" s="139">
        <v>15.66</v>
      </c>
      <c r="G14" s="134">
        <v>80</v>
      </c>
      <c r="H14" s="134">
        <v>26</v>
      </c>
      <c r="I14" s="135">
        <v>18.670000000000002</v>
      </c>
      <c r="J14" s="135">
        <f>+I14+0.5</f>
        <v>19.170000000000002</v>
      </c>
      <c r="K14" s="136">
        <v>0.16</v>
      </c>
      <c r="L14" s="174">
        <f>+J14*H14*G14</f>
        <v>39873.600000000006</v>
      </c>
      <c r="M14" s="135">
        <f>+L14*1.45%</f>
        <v>578.16720000000009</v>
      </c>
      <c r="N14" s="135">
        <f>+L14*0.35%</f>
        <v>139.55760000000001</v>
      </c>
      <c r="O14" s="478">
        <f>+L14*O$2</f>
        <v>3588.6240000000003</v>
      </c>
      <c r="P14" s="478"/>
      <c r="Q14" s="135">
        <v>10.87</v>
      </c>
      <c r="R14" s="135">
        <v>0</v>
      </c>
      <c r="S14" s="135">
        <f>94.28*12</f>
        <v>1131.3600000000001</v>
      </c>
      <c r="T14" s="135">
        <f>18.72*12</f>
        <v>224.64</v>
      </c>
      <c r="U14" s="135">
        <v>132</v>
      </c>
      <c r="V14" s="135">
        <f>SUM(L14:U14)</f>
        <v>45678.818800000015</v>
      </c>
      <c r="X14" s="138"/>
      <c r="Y14" s="121"/>
    </row>
    <row r="15" spans="1:26" x14ac:dyDescent="0.25">
      <c r="A15" s="130">
        <v>8</v>
      </c>
      <c r="B15" s="131" t="s">
        <v>725</v>
      </c>
      <c r="C15" s="120" t="s">
        <v>612</v>
      </c>
      <c r="D15" s="132" t="s">
        <v>633</v>
      </c>
      <c r="E15" s="120" t="s">
        <v>617</v>
      </c>
      <c r="F15" s="139">
        <v>14</v>
      </c>
      <c r="G15" s="134">
        <v>80</v>
      </c>
      <c r="H15" s="134">
        <v>26</v>
      </c>
      <c r="I15" s="135">
        <f>(F15*K15)+F15</f>
        <v>14</v>
      </c>
      <c r="J15" s="135">
        <f>+I15+0.5</f>
        <v>14.5</v>
      </c>
      <c r="K15" s="136">
        <v>0</v>
      </c>
      <c r="L15" s="174">
        <f>+J15*H15*G15</f>
        <v>30160</v>
      </c>
      <c r="M15" s="135">
        <f>+L15*1.45%</f>
        <v>437.32</v>
      </c>
      <c r="N15" s="121">
        <f>+L15*0.35%</f>
        <v>105.55999999999999</v>
      </c>
      <c r="O15" s="478">
        <f>+L15*O$2</f>
        <v>2714.4</v>
      </c>
      <c r="P15" s="478"/>
      <c r="Q15" s="135">
        <v>10.87</v>
      </c>
      <c r="R15" s="135">
        <f>2500*12</f>
        <v>30000</v>
      </c>
      <c r="S15" s="135">
        <v>1200</v>
      </c>
      <c r="T15" s="135">
        <v>225</v>
      </c>
      <c r="U15" s="135">
        <v>132</v>
      </c>
      <c r="V15" s="121">
        <f>SUM(L15:U15)</f>
        <v>64985.15</v>
      </c>
      <c r="X15" s="138"/>
      <c r="Y15" s="121"/>
      <c r="Z15" s="138"/>
    </row>
    <row r="16" spans="1:26" x14ac:dyDescent="0.25">
      <c r="A16" s="143"/>
      <c r="B16" s="144"/>
      <c r="C16" s="144"/>
      <c r="D16" s="144"/>
      <c r="E16" s="144"/>
      <c r="F16" s="146"/>
      <c r="G16" s="147"/>
      <c r="H16" s="147"/>
      <c r="I16" s="148"/>
      <c r="J16" s="148"/>
      <c r="K16" s="149"/>
      <c r="L16" s="186">
        <f>+SUM(L12:L15)</f>
        <v>174720</v>
      </c>
      <c r="M16" s="186">
        <f>+SUM(M12:M15)</f>
        <v>2533.44</v>
      </c>
      <c r="N16" s="186">
        <f>+SUM(N12:N15)</f>
        <v>611.51999999999987</v>
      </c>
      <c r="O16" s="186"/>
      <c r="P16" s="186">
        <f>(SUM(O12:P15))</f>
        <v>15724.8</v>
      </c>
      <c r="Q16" s="186">
        <f>+SUM(Q12:Q15)</f>
        <v>43.48</v>
      </c>
      <c r="R16" s="186">
        <f>+SUM(R12:R15)</f>
        <v>30000</v>
      </c>
      <c r="S16" s="186">
        <f>+SUM(S12:S15)</f>
        <v>3093.7200000000003</v>
      </c>
      <c r="T16" s="186">
        <f>+SUM(T12:T15)</f>
        <v>584.76</v>
      </c>
      <c r="U16" s="186">
        <f>+SUM(U12:U15)</f>
        <v>528</v>
      </c>
      <c r="V16" s="186">
        <f t="shared" ref="V16" si="1">+SUM(V12:V15)</f>
        <v>227839.72</v>
      </c>
      <c r="X16" s="138"/>
      <c r="Y16" s="121"/>
    </row>
    <row r="17" spans="1:25" x14ac:dyDescent="0.25">
      <c r="A17" s="122"/>
      <c r="B17" s="123" t="s">
        <v>634</v>
      </c>
      <c r="C17" s="124"/>
      <c r="D17" s="187"/>
      <c r="E17" s="124"/>
      <c r="F17" s="125"/>
      <c r="G17" s="126"/>
      <c r="H17" s="126"/>
      <c r="I17" s="188"/>
      <c r="J17" s="188"/>
      <c r="K17" s="189"/>
      <c r="L17" s="129"/>
      <c r="M17" s="127"/>
      <c r="N17" s="127"/>
      <c r="O17" s="190"/>
      <c r="P17" s="190"/>
      <c r="Q17" s="127"/>
      <c r="R17" s="127"/>
      <c r="S17" s="127"/>
      <c r="T17" s="127"/>
      <c r="U17" s="127"/>
      <c r="V17" s="127"/>
      <c r="X17" s="138"/>
      <c r="Y17" s="121"/>
    </row>
    <row r="18" spans="1:25" x14ac:dyDescent="0.25">
      <c r="A18" s="130">
        <v>9</v>
      </c>
      <c r="B18" s="131" t="s">
        <v>635</v>
      </c>
      <c r="C18" s="120" t="s">
        <v>612</v>
      </c>
      <c r="D18" s="132" t="s">
        <v>302</v>
      </c>
      <c r="E18" s="120" t="s">
        <v>614</v>
      </c>
      <c r="F18" s="139">
        <v>52.89</v>
      </c>
      <c r="G18" s="134">
        <v>80</v>
      </c>
      <c r="H18" s="134">
        <v>26</v>
      </c>
      <c r="I18" s="135">
        <f>(F18*K18)+F18</f>
        <v>52.89</v>
      </c>
      <c r="J18" s="135">
        <f>+I18</f>
        <v>52.89</v>
      </c>
      <c r="K18" s="161">
        <v>0</v>
      </c>
      <c r="L18" s="137">
        <f>+J18*H18*G18</f>
        <v>110011.20000000001</v>
      </c>
      <c r="M18" s="135">
        <f>+L18*1.45%</f>
        <v>1595.1624000000002</v>
      </c>
      <c r="N18" s="135">
        <f>+L18*0.35%</f>
        <v>385.03919999999999</v>
      </c>
      <c r="O18" s="479">
        <f>+L18*O2</f>
        <v>9901.0079999999998</v>
      </c>
      <c r="P18" s="479"/>
      <c r="Q18" s="135">
        <v>10.87</v>
      </c>
      <c r="R18" s="135">
        <v>0</v>
      </c>
      <c r="S18" s="135">
        <v>0</v>
      </c>
      <c r="T18" s="135">
        <v>0</v>
      </c>
      <c r="U18" s="135">
        <v>132</v>
      </c>
      <c r="V18" s="135">
        <f>SUM(L18:U18)</f>
        <v>122035.27960000001</v>
      </c>
      <c r="X18" s="138"/>
      <c r="Y18" s="121"/>
    </row>
    <row r="19" spans="1:25" x14ac:dyDescent="0.25">
      <c r="A19" s="143"/>
      <c r="B19" s="144"/>
      <c r="C19" s="144"/>
      <c r="D19" s="191"/>
      <c r="E19" s="144"/>
      <c r="F19" s="146"/>
      <c r="G19" s="147"/>
      <c r="H19" s="147"/>
      <c r="I19" s="148"/>
      <c r="J19" s="148"/>
      <c r="K19" s="149"/>
      <c r="L19" s="192">
        <f>+L18</f>
        <v>110011.20000000001</v>
      </c>
      <c r="M19" s="192">
        <f>+M18</f>
        <v>1595.1624000000002</v>
      </c>
      <c r="N19" s="192">
        <f>+N18</f>
        <v>385.03919999999999</v>
      </c>
      <c r="O19" s="192"/>
      <c r="P19" s="192">
        <f>O18</f>
        <v>9901.0079999999998</v>
      </c>
      <c r="Q19" s="192">
        <f>+Q18</f>
        <v>10.87</v>
      </c>
      <c r="R19" s="192">
        <f>+R18</f>
        <v>0</v>
      </c>
      <c r="S19" s="192">
        <f>+S18</f>
        <v>0</v>
      </c>
      <c r="T19" s="192">
        <f>+T18</f>
        <v>0</v>
      </c>
      <c r="U19" s="192">
        <f>+U18</f>
        <v>132</v>
      </c>
      <c r="V19" s="192">
        <f t="shared" ref="V19" si="2">+V18</f>
        <v>122035.27960000001</v>
      </c>
      <c r="X19" s="138"/>
      <c r="Y19" s="121"/>
    </row>
    <row r="20" spans="1:25" x14ac:dyDescent="0.25">
      <c r="A20" s="193"/>
      <c r="B20" s="194" t="s">
        <v>636</v>
      </c>
      <c r="C20" s="194"/>
      <c r="D20" s="195"/>
      <c r="E20" s="196"/>
      <c r="F20" s="197"/>
      <c r="G20" s="198"/>
      <c r="H20" s="198"/>
      <c r="I20" s="199"/>
      <c r="J20" s="199"/>
      <c r="K20" s="200"/>
      <c r="L20" s="201"/>
      <c r="M20" s="199"/>
      <c r="N20" s="199"/>
      <c r="O20" s="202"/>
      <c r="P20" s="202"/>
      <c r="Q20" s="199"/>
      <c r="R20" s="199"/>
      <c r="S20" s="199"/>
      <c r="T20" s="199"/>
      <c r="U20" s="199"/>
      <c r="V20" s="199"/>
      <c r="X20" s="138"/>
      <c r="Y20" s="121"/>
    </row>
    <row r="21" spans="1:25" s="177" customFormat="1" ht="15" customHeight="1" x14ac:dyDescent="0.25">
      <c r="A21" s="175">
        <v>10</v>
      </c>
      <c r="B21" s="203" t="s">
        <v>632</v>
      </c>
      <c r="C21" s="177" t="s">
        <v>612</v>
      </c>
      <c r="D21" s="204" t="s">
        <v>637</v>
      </c>
      <c r="E21" s="177" t="s">
        <v>617</v>
      </c>
      <c r="F21" s="205">
        <v>0</v>
      </c>
      <c r="G21" s="180">
        <v>80</v>
      </c>
      <c r="H21" s="180">
        <v>26</v>
      </c>
      <c r="I21" s="181">
        <v>14</v>
      </c>
      <c r="J21" s="181">
        <v>14.5</v>
      </c>
      <c r="K21" s="206">
        <v>0</v>
      </c>
      <c r="L21" s="183">
        <f>+J21*H21*G21</f>
        <v>30160</v>
      </c>
      <c r="M21" s="181">
        <f>+L21*1.45%</f>
        <v>437.32</v>
      </c>
      <c r="N21" s="184">
        <f>+L21*0.35%</f>
        <v>105.55999999999999</v>
      </c>
      <c r="O21" s="474">
        <f>+L21*O$2</f>
        <v>2714.4</v>
      </c>
      <c r="P21" s="474"/>
      <c r="Q21" s="184">
        <v>10.87</v>
      </c>
      <c r="R21" s="184">
        <v>8400</v>
      </c>
      <c r="S21" s="184">
        <v>495</v>
      </c>
      <c r="T21" s="184">
        <v>110</v>
      </c>
      <c r="U21" s="184">
        <v>94.9</v>
      </c>
      <c r="V21" s="184">
        <f>SUM(L21:U21)</f>
        <v>42528.05</v>
      </c>
      <c r="X21" s="138"/>
      <c r="Y21" s="121"/>
    </row>
    <row r="22" spans="1:25" x14ac:dyDescent="0.25">
      <c r="A22" s="143"/>
      <c r="B22" s="144"/>
      <c r="C22" s="144"/>
      <c r="D22" s="144"/>
      <c r="E22" s="144"/>
      <c r="F22" s="146"/>
      <c r="G22" s="147"/>
      <c r="H22" s="147"/>
      <c r="I22" s="148"/>
      <c r="J22" s="148"/>
      <c r="K22" s="149"/>
      <c r="L22" s="207">
        <f>L21</f>
        <v>30160</v>
      </c>
      <c r="M22" s="207">
        <f t="shared" ref="M22:V22" si="3">M21</f>
        <v>437.32</v>
      </c>
      <c r="N22" s="207">
        <f t="shared" si="3"/>
        <v>105.55999999999999</v>
      </c>
      <c r="O22" s="207"/>
      <c r="P22" s="207">
        <f>+O21</f>
        <v>2714.4</v>
      </c>
      <c r="Q22" s="207">
        <f t="shared" si="3"/>
        <v>10.87</v>
      </c>
      <c r="R22" s="207">
        <f t="shared" si="3"/>
        <v>8400</v>
      </c>
      <c r="S22" s="207">
        <f t="shared" si="3"/>
        <v>495</v>
      </c>
      <c r="T22" s="207">
        <f t="shared" si="3"/>
        <v>110</v>
      </c>
      <c r="U22" s="207">
        <f t="shared" si="3"/>
        <v>94.9</v>
      </c>
      <c r="V22" s="207">
        <f t="shared" si="3"/>
        <v>42528.05</v>
      </c>
      <c r="X22" s="138"/>
      <c r="Y22" s="121"/>
    </row>
    <row r="23" spans="1:25" x14ac:dyDescent="0.25">
      <c r="A23" s="208"/>
      <c r="B23" s="209" t="s">
        <v>638</v>
      </c>
      <c r="C23" s="209"/>
      <c r="D23" s="210"/>
      <c r="E23" s="209"/>
      <c r="F23" s="211"/>
      <c r="G23" s="212"/>
      <c r="H23" s="212"/>
      <c r="I23" s="213"/>
      <c r="J23" s="213"/>
      <c r="K23" s="214"/>
      <c r="L23" s="215"/>
      <c r="M23" s="213"/>
      <c r="N23" s="213"/>
      <c r="O23" s="216"/>
      <c r="P23" s="216"/>
      <c r="Q23" s="213"/>
      <c r="R23" s="213"/>
      <c r="S23" s="213"/>
      <c r="T23" s="213"/>
      <c r="U23" s="213"/>
      <c r="V23" s="213"/>
      <c r="X23" s="138"/>
      <c r="Y23" s="121"/>
    </row>
    <row r="24" spans="1:25" x14ac:dyDescent="0.25">
      <c r="A24" s="130">
        <v>11</v>
      </c>
      <c r="B24" s="120" t="s">
        <v>639</v>
      </c>
      <c r="C24" s="120" t="s">
        <v>622</v>
      </c>
      <c r="D24" s="132" t="s">
        <v>640</v>
      </c>
      <c r="E24" s="120" t="s">
        <v>624</v>
      </c>
      <c r="F24" s="139">
        <v>250</v>
      </c>
      <c r="G24" s="134">
        <v>1</v>
      </c>
      <c r="H24" s="134">
        <v>12</v>
      </c>
      <c r="I24" s="135">
        <f t="shared" ref="I24:I36" si="4">(F24*K24)+F24</f>
        <v>287.5</v>
      </c>
      <c r="J24" s="135">
        <f t="shared" ref="J24:J36" si="5">+I24</f>
        <v>287.5</v>
      </c>
      <c r="K24" s="161">
        <v>0.15</v>
      </c>
      <c r="L24" s="137">
        <f t="shared" ref="L24:L36" si="6">+J24*H24*G24</f>
        <v>3450</v>
      </c>
      <c r="M24" s="135">
        <f t="shared" ref="M24:M36" si="7">+L24*7.652%</f>
        <v>263.99400000000003</v>
      </c>
      <c r="N24" s="121">
        <v>0</v>
      </c>
      <c r="O24" s="480">
        <v>0</v>
      </c>
      <c r="P24" s="480"/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 t="shared" ref="V24:V36" si="8">SUM(L24:U24)</f>
        <v>3713.9940000000001</v>
      </c>
      <c r="X24" s="138"/>
      <c r="Y24" s="121"/>
    </row>
    <row r="25" spans="1:25" x14ac:dyDescent="0.25">
      <c r="A25" s="130">
        <v>12</v>
      </c>
      <c r="B25" s="120" t="s">
        <v>641</v>
      </c>
      <c r="C25" s="120" t="s">
        <v>622</v>
      </c>
      <c r="D25" s="132" t="s">
        <v>642</v>
      </c>
      <c r="E25" s="120" t="s">
        <v>624</v>
      </c>
      <c r="F25" s="139">
        <v>250</v>
      </c>
      <c r="G25" s="134">
        <v>1</v>
      </c>
      <c r="H25" s="134">
        <v>12</v>
      </c>
      <c r="I25" s="135">
        <f t="shared" si="4"/>
        <v>287.5</v>
      </c>
      <c r="J25" s="135">
        <f t="shared" si="5"/>
        <v>287.5</v>
      </c>
      <c r="K25" s="161">
        <v>0.15</v>
      </c>
      <c r="L25" s="137">
        <f t="shared" si="6"/>
        <v>3450</v>
      </c>
      <c r="M25" s="135">
        <f t="shared" si="7"/>
        <v>263.99400000000003</v>
      </c>
      <c r="N25" s="121">
        <v>0</v>
      </c>
      <c r="O25" s="480">
        <v>0</v>
      </c>
      <c r="P25" s="480"/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 t="shared" si="8"/>
        <v>3713.9940000000001</v>
      </c>
      <c r="X25" s="138"/>
      <c r="Y25" s="121"/>
    </row>
    <row r="26" spans="1:25" x14ac:dyDescent="0.25">
      <c r="A26" s="130">
        <v>13</v>
      </c>
      <c r="B26" s="120" t="s">
        <v>643</v>
      </c>
      <c r="C26" s="120" t="s">
        <v>622</v>
      </c>
      <c r="D26" s="132" t="s">
        <v>642</v>
      </c>
      <c r="E26" s="120" t="s">
        <v>624</v>
      </c>
      <c r="F26" s="139">
        <v>250</v>
      </c>
      <c r="G26" s="134">
        <v>1</v>
      </c>
      <c r="H26" s="134">
        <v>12</v>
      </c>
      <c r="I26" s="135">
        <f t="shared" si="4"/>
        <v>287.5</v>
      </c>
      <c r="J26" s="135">
        <f t="shared" si="5"/>
        <v>287.5</v>
      </c>
      <c r="K26" s="161">
        <v>0.15</v>
      </c>
      <c r="L26" s="137">
        <f t="shared" si="6"/>
        <v>3450</v>
      </c>
      <c r="M26" s="135">
        <f t="shared" si="7"/>
        <v>263.99400000000003</v>
      </c>
      <c r="N26" s="121">
        <v>0</v>
      </c>
      <c r="O26" s="480">
        <v>0</v>
      </c>
      <c r="P26" s="480"/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 t="shared" si="8"/>
        <v>3713.9940000000001</v>
      </c>
      <c r="X26" s="138"/>
      <c r="Y26" s="121"/>
    </row>
    <row r="27" spans="1:25" x14ac:dyDescent="0.25">
      <c r="A27" s="130">
        <v>14</v>
      </c>
      <c r="B27" s="120" t="s">
        <v>644</v>
      </c>
      <c r="C27" s="120" t="s">
        <v>622</v>
      </c>
      <c r="D27" s="132" t="s">
        <v>642</v>
      </c>
      <c r="E27" s="120" t="s">
        <v>624</v>
      </c>
      <c r="F27" s="139">
        <v>250</v>
      </c>
      <c r="G27" s="134">
        <v>1</v>
      </c>
      <c r="H27" s="134">
        <v>12</v>
      </c>
      <c r="I27" s="135">
        <f t="shared" si="4"/>
        <v>287.5</v>
      </c>
      <c r="J27" s="135">
        <f t="shared" si="5"/>
        <v>287.5</v>
      </c>
      <c r="K27" s="161">
        <v>0.15</v>
      </c>
      <c r="L27" s="137">
        <f t="shared" si="6"/>
        <v>3450</v>
      </c>
      <c r="M27" s="135">
        <f t="shared" si="7"/>
        <v>263.99400000000003</v>
      </c>
      <c r="N27" s="121">
        <v>0</v>
      </c>
      <c r="O27" s="480">
        <v>0</v>
      </c>
      <c r="P27" s="480"/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 t="shared" si="8"/>
        <v>3713.9940000000001</v>
      </c>
      <c r="X27" s="138"/>
      <c r="Y27" s="121"/>
    </row>
    <row r="28" spans="1:25" x14ac:dyDescent="0.25">
      <c r="A28" s="130">
        <v>15</v>
      </c>
      <c r="B28" s="120" t="s">
        <v>645</v>
      </c>
      <c r="C28" s="120" t="s">
        <v>646</v>
      </c>
      <c r="D28" s="132" t="s">
        <v>647</v>
      </c>
      <c r="E28" s="120" t="s">
        <v>648</v>
      </c>
      <c r="F28" s="139">
        <v>50</v>
      </c>
      <c r="G28" s="134">
        <v>1</v>
      </c>
      <c r="H28" s="134">
        <v>4</v>
      </c>
      <c r="I28" s="135">
        <f t="shared" si="4"/>
        <v>57.5</v>
      </c>
      <c r="J28" s="135">
        <f t="shared" si="5"/>
        <v>57.5</v>
      </c>
      <c r="K28" s="161">
        <v>0.15</v>
      </c>
      <c r="L28" s="137">
        <f t="shared" si="6"/>
        <v>230</v>
      </c>
      <c r="M28" s="135">
        <f t="shared" si="7"/>
        <v>17.599600000000002</v>
      </c>
      <c r="N28" s="121">
        <v>0</v>
      </c>
      <c r="O28" s="480">
        <v>0</v>
      </c>
      <c r="P28" s="480"/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 t="shared" si="8"/>
        <v>247.59960000000001</v>
      </c>
      <c r="X28" s="138"/>
      <c r="Y28" s="121"/>
    </row>
    <row r="29" spans="1:25" x14ac:dyDescent="0.25">
      <c r="A29" s="130">
        <v>16</v>
      </c>
      <c r="B29" s="120" t="s">
        <v>649</v>
      </c>
      <c r="C29" s="120" t="s">
        <v>646</v>
      </c>
      <c r="D29" s="132" t="s">
        <v>647</v>
      </c>
      <c r="E29" s="120" t="s">
        <v>648</v>
      </c>
      <c r="F29" s="139">
        <v>50</v>
      </c>
      <c r="G29" s="134">
        <v>1</v>
      </c>
      <c r="H29" s="134">
        <v>4</v>
      </c>
      <c r="I29" s="135">
        <f t="shared" si="4"/>
        <v>57.5</v>
      </c>
      <c r="J29" s="135">
        <f t="shared" si="5"/>
        <v>57.5</v>
      </c>
      <c r="K29" s="161">
        <v>0.15</v>
      </c>
      <c r="L29" s="137">
        <f t="shared" si="6"/>
        <v>230</v>
      </c>
      <c r="M29" s="135">
        <f t="shared" si="7"/>
        <v>17.599600000000002</v>
      </c>
      <c r="N29" s="121">
        <v>0</v>
      </c>
      <c r="O29" s="480">
        <v>0</v>
      </c>
      <c r="P29" s="480"/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 t="shared" si="8"/>
        <v>247.59960000000001</v>
      </c>
      <c r="X29" s="138"/>
      <c r="Y29" s="121"/>
    </row>
    <row r="30" spans="1:25" x14ac:dyDescent="0.25">
      <c r="A30" s="130">
        <v>17</v>
      </c>
      <c r="B30" s="120" t="s">
        <v>650</v>
      </c>
      <c r="C30" s="120" t="s">
        <v>646</v>
      </c>
      <c r="D30" s="132" t="s">
        <v>647</v>
      </c>
      <c r="E30" s="120" t="s">
        <v>648</v>
      </c>
      <c r="F30" s="139">
        <v>50</v>
      </c>
      <c r="G30" s="134">
        <v>1</v>
      </c>
      <c r="H30" s="134">
        <v>4</v>
      </c>
      <c r="I30" s="135">
        <f t="shared" si="4"/>
        <v>57.5</v>
      </c>
      <c r="J30" s="135">
        <f t="shared" si="5"/>
        <v>57.5</v>
      </c>
      <c r="K30" s="161">
        <v>0.15</v>
      </c>
      <c r="L30" s="137">
        <f t="shared" si="6"/>
        <v>230</v>
      </c>
      <c r="M30" s="135">
        <f t="shared" si="7"/>
        <v>17.599600000000002</v>
      </c>
      <c r="N30" s="121">
        <v>0</v>
      </c>
      <c r="O30" s="480">
        <v>0</v>
      </c>
      <c r="P30" s="480"/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 t="shared" si="8"/>
        <v>247.59960000000001</v>
      </c>
      <c r="X30" s="138"/>
      <c r="Y30" s="121"/>
    </row>
    <row r="31" spans="1:25" x14ac:dyDescent="0.25">
      <c r="A31" s="130">
        <v>18</v>
      </c>
      <c r="B31" s="120" t="s">
        <v>651</v>
      </c>
      <c r="C31" s="120" t="s">
        <v>646</v>
      </c>
      <c r="D31" s="132" t="s">
        <v>647</v>
      </c>
      <c r="E31" s="120" t="s">
        <v>648</v>
      </c>
      <c r="F31" s="139">
        <v>50</v>
      </c>
      <c r="G31" s="134">
        <v>1</v>
      </c>
      <c r="H31" s="134">
        <v>4</v>
      </c>
      <c r="I31" s="135">
        <f t="shared" si="4"/>
        <v>57.5</v>
      </c>
      <c r="J31" s="135">
        <f t="shared" si="5"/>
        <v>57.5</v>
      </c>
      <c r="K31" s="161">
        <v>0.15</v>
      </c>
      <c r="L31" s="137">
        <f t="shared" si="6"/>
        <v>230</v>
      </c>
      <c r="M31" s="135">
        <f t="shared" si="7"/>
        <v>17.599600000000002</v>
      </c>
      <c r="N31" s="121">
        <v>0</v>
      </c>
      <c r="O31" s="480">
        <v>0</v>
      </c>
      <c r="P31" s="480"/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 t="shared" si="8"/>
        <v>247.59960000000001</v>
      </c>
      <c r="X31" s="138"/>
      <c r="Y31" s="121"/>
    </row>
    <row r="32" spans="1:25" x14ac:dyDescent="0.25">
      <c r="A32" s="130">
        <v>19</v>
      </c>
      <c r="B32" s="120" t="s">
        <v>652</v>
      </c>
      <c r="C32" s="120" t="s">
        <v>622</v>
      </c>
      <c r="D32" s="132" t="s">
        <v>647</v>
      </c>
      <c r="E32" s="120" t="s">
        <v>624</v>
      </c>
      <c r="F32" s="139">
        <v>100</v>
      </c>
      <c r="G32" s="134">
        <v>1</v>
      </c>
      <c r="H32" s="134">
        <v>12</v>
      </c>
      <c r="I32" s="135">
        <f t="shared" si="4"/>
        <v>115</v>
      </c>
      <c r="J32" s="135">
        <f t="shared" si="5"/>
        <v>115</v>
      </c>
      <c r="K32" s="161">
        <v>0.15</v>
      </c>
      <c r="L32" s="137">
        <f t="shared" si="6"/>
        <v>1380</v>
      </c>
      <c r="M32" s="135">
        <f t="shared" si="7"/>
        <v>105.5976</v>
      </c>
      <c r="N32" s="121">
        <v>0</v>
      </c>
      <c r="O32" s="480">
        <v>0</v>
      </c>
      <c r="P32" s="480"/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 t="shared" si="8"/>
        <v>1485.5976000000001</v>
      </c>
      <c r="X32" s="138"/>
      <c r="Y32" s="121"/>
    </row>
    <row r="33" spans="1:26" x14ac:dyDescent="0.25">
      <c r="A33" s="130">
        <v>20</v>
      </c>
      <c r="B33" s="120" t="s">
        <v>653</v>
      </c>
      <c r="C33" s="120" t="s">
        <v>622</v>
      </c>
      <c r="D33" s="132" t="s">
        <v>647</v>
      </c>
      <c r="E33" s="120" t="s">
        <v>624</v>
      </c>
      <c r="F33" s="139">
        <v>100</v>
      </c>
      <c r="G33" s="134">
        <v>1</v>
      </c>
      <c r="H33" s="134">
        <v>12</v>
      </c>
      <c r="I33" s="135">
        <f t="shared" si="4"/>
        <v>115</v>
      </c>
      <c r="J33" s="135">
        <f t="shared" si="5"/>
        <v>115</v>
      </c>
      <c r="K33" s="161">
        <v>0.15</v>
      </c>
      <c r="L33" s="137">
        <f t="shared" si="6"/>
        <v>1380</v>
      </c>
      <c r="M33" s="135">
        <f t="shared" si="7"/>
        <v>105.5976</v>
      </c>
      <c r="N33" s="121">
        <v>0</v>
      </c>
      <c r="O33" s="480">
        <v>0</v>
      </c>
      <c r="P33" s="480"/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 t="shared" si="8"/>
        <v>1485.5976000000001</v>
      </c>
      <c r="X33" s="138"/>
      <c r="Y33" s="121"/>
    </row>
    <row r="34" spans="1:26" x14ac:dyDescent="0.25">
      <c r="A34" s="130">
        <v>21</v>
      </c>
      <c r="B34" s="120" t="s">
        <v>654</v>
      </c>
      <c r="C34" s="120" t="s">
        <v>622</v>
      </c>
      <c r="D34" s="132" t="s">
        <v>647</v>
      </c>
      <c r="E34" s="120" t="s">
        <v>624</v>
      </c>
      <c r="F34" s="139">
        <v>100</v>
      </c>
      <c r="G34" s="134">
        <v>1</v>
      </c>
      <c r="H34" s="134">
        <v>12</v>
      </c>
      <c r="I34" s="135">
        <f t="shared" si="4"/>
        <v>115</v>
      </c>
      <c r="J34" s="135">
        <f t="shared" si="5"/>
        <v>115</v>
      </c>
      <c r="K34" s="161">
        <v>0.15</v>
      </c>
      <c r="L34" s="137">
        <f t="shared" si="6"/>
        <v>1380</v>
      </c>
      <c r="M34" s="135">
        <f t="shared" si="7"/>
        <v>105.5976</v>
      </c>
      <c r="N34" s="121">
        <v>0</v>
      </c>
      <c r="O34" s="480">
        <v>0</v>
      </c>
      <c r="P34" s="480"/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f t="shared" si="8"/>
        <v>1485.5976000000001</v>
      </c>
      <c r="X34" s="138"/>
      <c r="Y34" s="121"/>
    </row>
    <row r="35" spans="1:26" x14ac:dyDescent="0.25">
      <c r="A35" s="130">
        <v>22</v>
      </c>
      <c r="B35" s="120" t="s">
        <v>655</v>
      </c>
      <c r="C35" s="120" t="s">
        <v>622</v>
      </c>
      <c r="D35" s="132" t="s">
        <v>647</v>
      </c>
      <c r="E35" s="120" t="s">
        <v>624</v>
      </c>
      <c r="F35" s="139">
        <v>100</v>
      </c>
      <c r="G35" s="134">
        <v>1</v>
      </c>
      <c r="H35" s="134">
        <v>12</v>
      </c>
      <c r="I35" s="135">
        <f t="shared" si="4"/>
        <v>115</v>
      </c>
      <c r="J35" s="135">
        <f t="shared" si="5"/>
        <v>115</v>
      </c>
      <c r="K35" s="161">
        <v>0.15</v>
      </c>
      <c r="L35" s="137">
        <f t="shared" si="6"/>
        <v>1380</v>
      </c>
      <c r="M35" s="135">
        <f t="shared" si="7"/>
        <v>105.5976</v>
      </c>
      <c r="N35" s="121">
        <v>0</v>
      </c>
      <c r="O35" s="480">
        <v>0</v>
      </c>
      <c r="P35" s="480"/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 t="shared" si="8"/>
        <v>1485.5976000000001</v>
      </c>
      <c r="X35" s="138"/>
      <c r="Y35" s="121"/>
    </row>
    <row r="36" spans="1:26" x14ac:dyDescent="0.25">
      <c r="A36" s="130">
        <v>23</v>
      </c>
      <c r="B36" s="120" t="s">
        <v>656</v>
      </c>
      <c r="C36" s="120" t="s">
        <v>622</v>
      </c>
      <c r="D36" s="132" t="s">
        <v>647</v>
      </c>
      <c r="E36" s="120" t="s">
        <v>624</v>
      </c>
      <c r="F36" s="139">
        <v>100</v>
      </c>
      <c r="G36" s="134">
        <v>1</v>
      </c>
      <c r="H36" s="134">
        <v>12</v>
      </c>
      <c r="I36" s="135">
        <f t="shared" si="4"/>
        <v>115</v>
      </c>
      <c r="J36" s="135">
        <f t="shared" si="5"/>
        <v>115</v>
      </c>
      <c r="K36" s="161">
        <v>0.15</v>
      </c>
      <c r="L36" s="137">
        <f t="shared" si="6"/>
        <v>1380</v>
      </c>
      <c r="M36" s="135">
        <f t="shared" si="7"/>
        <v>105.5976</v>
      </c>
      <c r="N36" s="121">
        <v>0</v>
      </c>
      <c r="O36" s="480">
        <v>0</v>
      </c>
      <c r="P36" s="480"/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 t="shared" si="8"/>
        <v>1485.5976000000001</v>
      </c>
      <c r="X36" s="138"/>
      <c r="Y36" s="121"/>
    </row>
    <row r="37" spans="1:26" x14ac:dyDescent="0.25">
      <c r="A37" s="143"/>
      <c r="B37" s="144"/>
      <c r="C37" s="144"/>
      <c r="D37" s="144"/>
      <c r="E37" s="144"/>
      <c r="F37" s="146"/>
      <c r="G37" s="147"/>
      <c r="H37" s="147"/>
      <c r="I37" s="148"/>
      <c r="J37" s="148"/>
      <c r="K37" s="149"/>
      <c r="L37" s="217">
        <f>+SUM(L24:L36)</f>
        <v>21620</v>
      </c>
      <c r="M37" s="218">
        <f>+SUM(M24:M36)</f>
        <v>1654.3624000000004</v>
      </c>
      <c r="N37" s="218">
        <f>+SUM(N24:N36)</f>
        <v>0</v>
      </c>
      <c r="O37" s="481">
        <f>+SUM(O24:P36)</f>
        <v>0</v>
      </c>
      <c r="P37" s="481"/>
      <c r="Q37" s="218">
        <f>+SUM(Q24:Q36)</f>
        <v>0</v>
      </c>
      <c r="R37" s="218">
        <f>+SUM(R24:R36)</f>
        <v>0</v>
      </c>
      <c r="S37" s="218">
        <f t="shared" ref="S37:V37" si="9">+SUM(S24:S36)</f>
        <v>0</v>
      </c>
      <c r="T37" s="218">
        <f t="shared" si="9"/>
        <v>0</v>
      </c>
      <c r="U37" s="218">
        <f t="shared" si="9"/>
        <v>0</v>
      </c>
      <c r="V37" s="218">
        <f t="shared" si="9"/>
        <v>23274.362400000002</v>
      </c>
      <c r="X37" s="138"/>
      <c r="Y37" s="121"/>
    </row>
    <row r="38" spans="1:26" x14ac:dyDescent="0.25">
      <c r="A38" s="219"/>
      <c r="B38" s="220" t="s">
        <v>657</v>
      </c>
      <c r="C38" s="221"/>
      <c r="D38" s="222"/>
      <c r="E38" s="221"/>
      <c r="F38" s="223"/>
      <c r="G38" s="224"/>
      <c r="H38" s="224"/>
      <c r="I38" s="225"/>
      <c r="J38" s="225"/>
      <c r="K38" s="226"/>
      <c r="L38" s="227"/>
      <c r="M38" s="225"/>
      <c r="N38" s="225"/>
      <c r="O38" s="228"/>
      <c r="P38" s="228"/>
      <c r="Q38" s="225"/>
      <c r="R38" s="225"/>
      <c r="S38" s="225"/>
      <c r="T38" s="225"/>
      <c r="U38" s="225"/>
      <c r="V38" s="225"/>
      <c r="X38" s="138"/>
      <c r="Y38" s="121"/>
    </row>
    <row r="39" spans="1:26" x14ac:dyDescent="0.25">
      <c r="A39" s="130">
        <v>24</v>
      </c>
      <c r="B39" s="120" t="s">
        <v>658</v>
      </c>
      <c r="C39" s="120" t="s">
        <v>612</v>
      </c>
      <c r="D39" s="132" t="s">
        <v>659</v>
      </c>
      <c r="E39" s="120" t="s">
        <v>617</v>
      </c>
      <c r="F39" s="139">
        <v>16.45</v>
      </c>
      <c r="G39" s="134">
        <v>80</v>
      </c>
      <c r="H39" s="134">
        <v>26</v>
      </c>
      <c r="I39" s="135">
        <f>((F39*K39)+F39)</f>
        <v>17.765999999999998</v>
      </c>
      <c r="J39" s="135">
        <f>+I39+0.5</f>
        <v>18.265999999999998</v>
      </c>
      <c r="K39" s="136">
        <v>0.08</v>
      </c>
      <c r="L39" s="174">
        <f>+J39*H39*G39</f>
        <v>37993.279999999999</v>
      </c>
      <c r="M39" s="135">
        <f>+L39*1.45%</f>
        <v>550.90255999999999</v>
      </c>
      <c r="N39" s="121">
        <f>+L39*0.35%</f>
        <v>132.97647999999998</v>
      </c>
      <c r="O39" s="478">
        <f>+L39*O$2</f>
        <v>3419.3951999999999</v>
      </c>
      <c r="P39" s="478"/>
      <c r="Q39" s="121">
        <v>10.87</v>
      </c>
      <c r="R39" s="121">
        <f>209.8*24</f>
        <v>5035.2000000000007</v>
      </c>
      <c r="S39" s="121">
        <f>29.96*12</f>
        <v>359.52</v>
      </c>
      <c r="T39" s="121">
        <f>6.46*12</f>
        <v>77.52</v>
      </c>
      <c r="U39" s="121">
        <v>132</v>
      </c>
      <c r="V39" s="121">
        <f>SUM(L39:U39)</f>
        <v>47711.664239999998</v>
      </c>
      <c r="X39" s="138"/>
      <c r="Y39" s="121"/>
    </row>
    <row r="40" spans="1:26" x14ac:dyDescent="0.25">
      <c r="A40" s="130">
        <v>25</v>
      </c>
      <c r="B40" s="120" t="s">
        <v>660</v>
      </c>
      <c r="C40" s="120" t="s">
        <v>612</v>
      </c>
      <c r="D40" s="132" t="s">
        <v>661</v>
      </c>
      <c r="E40" s="120" t="s">
        <v>617</v>
      </c>
      <c r="F40" s="139">
        <v>11.5</v>
      </c>
      <c r="G40" s="134">
        <v>80</v>
      </c>
      <c r="H40" s="134">
        <v>26</v>
      </c>
      <c r="I40" s="135">
        <f>((F40*K40)+F40)</f>
        <v>14.547499999999999</v>
      </c>
      <c r="J40" s="135">
        <f>+I40+0.5</f>
        <v>15.047499999999999</v>
      </c>
      <c r="K40" s="140">
        <v>0.26500000000000001</v>
      </c>
      <c r="L40" s="174">
        <f>+J40*H40*G40</f>
        <v>31298.800000000003</v>
      </c>
      <c r="M40" s="135">
        <f>+L40*1.45%</f>
        <v>453.83260000000001</v>
      </c>
      <c r="N40" s="121">
        <f>+L40*0.35%</f>
        <v>109.5458</v>
      </c>
      <c r="O40" s="478">
        <f>+L40*O$2</f>
        <v>2816.8920000000003</v>
      </c>
      <c r="P40" s="478"/>
      <c r="Q40" s="135">
        <v>10.87</v>
      </c>
      <c r="R40" s="135">
        <v>0</v>
      </c>
      <c r="S40" s="135">
        <v>0</v>
      </c>
      <c r="T40" s="135">
        <v>0</v>
      </c>
      <c r="U40" s="135">
        <v>132</v>
      </c>
      <c r="V40" s="121">
        <f>SUM(L40:U40)</f>
        <v>34821.940400000007</v>
      </c>
      <c r="X40" s="138"/>
      <c r="Y40" s="121"/>
    </row>
    <row r="41" spans="1:26" s="177" customFormat="1" x14ac:dyDescent="0.25">
      <c r="A41" s="175">
        <v>26</v>
      </c>
      <c r="B41" s="176" t="s">
        <v>632</v>
      </c>
      <c r="C41" s="177" t="s">
        <v>612</v>
      </c>
      <c r="D41" s="178" t="s">
        <v>662</v>
      </c>
      <c r="E41" s="177" t="s">
        <v>617</v>
      </c>
      <c r="F41" s="179">
        <v>14</v>
      </c>
      <c r="G41" s="180">
        <v>58</v>
      </c>
      <c r="H41" s="180">
        <v>26</v>
      </c>
      <c r="I41" s="181">
        <f>(F41*K41)+F41</f>
        <v>14</v>
      </c>
      <c r="J41" s="181">
        <f>+I41+0.5</f>
        <v>14.5</v>
      </c>
      <c r="K41" s="182">
        <v>0</v>
      </c>
      <c r="L41" s="137">
        <f>+J41*H41*G41</f>
        <v>21866</v>
      </c>
      <c r="M41" s="181">
        <f>+L41*1.45%</f>
        <v>317.05699999999996</v>
      </c>
      <c r="N41" s="184">
        <f>+L41*0.35%</f>
        <v>76.530999999999992</v>
      </c>
      <c r="O41" s="474">
        <f>+L41*O$2</f>
        <v>1967.9399999999998</v>
      </c>
      <c r="P41" s="474"/>
      <c r="Q41" s="184">
        <v>10.87</v>
      </c>
      <c r="R41" s="184">
        <v>0</v>
      </c>
      <c r="S41" s="181">
        <v>0</v>
      </c>
      <c r="T41" s="181">
        <v>0</v>
      </c>
      <c r="U41" s="184">
        <v>0</v>
      </c>
      <c r="V41" s="184">
        <f>SUM(L41:U41)</f>
        <v>24238.397999999997</v>
      </c>
      <c r="X41" s="138"/>
      <c r="Y41" s="121"/>
      <c r="Z41" s="185"/>
    </row>
    <row r="42" spans="1:26" x14ac:dyDescent="0.25">
      <c r="A42" s="143"/>
      <c r="B42" s="144"/>
      <c r="C42" s="144"/>
      <c r="D42" s="145"/>
      <c r="E42" s="144"/>
      <c r="F42" s="146"/>
      <c r="G42" s="147"/>
      <c r="H42" s="147"/>
      <c r="I42" s="148"/>
      <c r="J42" s="148"/>
      <c r="K42" s="149"/>
      <c r="L42" s="229">
        <f>+SUM(L39:L41)</f>
        <v>91158.080000000002</v>
      </c>
      <c r="M42" s="230">
        <f>+SUM(M39:M41)</f>
        <v>1321.79216</v>
      </c>
      <c r="N42" s="230">
        <f>+SUM(N39:N41)</f>
        <v>319.05327999999997</v>
      </c>
      <c r="O42" s="230"/>
      <c r="P42" s="230">
        <f>+SUM(O39:P41)</f>
        <v>8204.2272000000012</v>
      </c>
      <c r="Q42" s="230">
        <f>+SUM(Q39:Q41)</f>
        <v>32.61</v>
      </c>
      <c r="R42" s="230">
        <f>+SUM(R39:R41)</f>
        <v>5035.2000000000007</v>
      </c>
      <c r="S42" s="230">
        <f>+SUM(S39:S41)</f>
        <v>359.52</v>
      </c>
      <c r="T42" s="230">
        <f>+SUM(T39:T41)</f>
        <v>77.52</v>
      </c>
      <c r="U42" s="230">
        <f>+SUM(U39:U41)</f>
        <v>264</v>
      </c>
      <c r="V42" s="230">
        <f t="shared" ref="V42" si="10">+SUM(V39:V41)</f>
        <v>106772.00264000001</v>
      </c>
      <c r="X42" s="138"/>
      <c r="Y42" s="121"/>
    </row>
    <row r="43" spans="1:26" x14ac:dyDescent="0.25">
      <c r="A43" s="208"/>
      <c r="B43" s="209" t="s">
        <v>663</v>
      </c>
      <c r="C43" s="209"/>
      <c r="D43" s="210"/>
      <c r="E43" s="231"/>
      <c r="F43" s="232"/>
      <c r="G43" s="233"/>
      <c r="H43" s="233"/>
      <c r="I43" s="213"/>
      <c r="J43" s="213"/>
      <c r="K43" s="214"/>
      <c r="L43" s="215"/>
      <c r="M43" s="213"/>
      <c r="N43" s="213"/>
      <c r="O43" s="216"/>
      <c r="P43" s="216"/>
      <c r="Q43" s="213"/>
      <c r="R43" s="213"/>
      <c r="S43" s="213"/>
      <c r="T43" s="213"/>
      <c r="U43" s="213"/>
      <c r="V43" s="213"/>
      <c r="X43" s="138"/>
      <c r="Y43" s="121"/>
    </row>
    <row r="44" spans="1:26" x14ac:dyDescent="0.25">
      <c r="A44" s="130">
        <v>27</v>
      </c>
      <c r="B44" s="120" t="s">
        <v>664</v>
      </c>
      <c r="C44" s="120" t="s">
        <v>622</v>
      </c>
      <c r="D44" s="234" t="s">
        <v>665</v>
      </c>
      <c r="E44" s="120" t="s">
        <v>624</v>
      </c>
      <c r="F44" s="133">
        <v>800</v>
      </c>
      <c r="G44" s="134">
        <v>1</v>
      </c>
      <c r="H44" s="134">
        <v>12</v>
      </c>
      <c r="I44" s="135">
        <f>(K44*F44)+F44</f>
        <v>920</v>
      </c>
      <c r="J44" s="135">
        <f>+I44</f>
        <v>920</v>
      </c>
      <c r="K44" s="161">
        <v>0.15</v>
      </c>
      <c r="L44" s="174">
        <f>+J44*H44*G44</f>
        <v>11040</v>
      </c>
      <c r="M44" s="135">
        <f>+L44*7.65%</f>
        <v>844.56</v>
      </c>
      <c r="N44" s="121">
        <v>0</v>
      </c>
      <c r="O44" s="480">
        <v>0</v>
      </c>
      <c r="P44" s="480"/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SUM(L44:U44)</f>
        <v>11884.56</v>
      </c>
      <c r="X44" s="138"/>
      <c r="Y44" s="121"/>
    </row>
    <row r="45" spans="1:26" s="177" customFormat="1" x14ac:dyDescent="0.25">
      <c r="A45" s="175">
        <v>28</v>
      </c>
      <c r="B45" s="177" t="s">
        <v>632</v>
      </c>
      <c r="C45" s="177" t="s">
        <v>622</v>
      </c>
      <c r="D45" s="235" t="s">
        <v>666</v>
      </c>
      <c r="E45" s="177" t="s">
        <v>667</v>
      </c>
      <c r="F45" s="236">
        <v>800</v>
      </c>
      <c r="G45" s="180">
        <v>1</v>
      </c>
      <c r="H45" s="180">
        <v>2</v>
      </c>
      <c r="I45" s="181">
        <f>(K45*F45)+F45</f>
        <v>800</v>
      </c>
      <c r="J45" s="181">
        <v>800</v>
      </c>
      <c r="K45" s="237">
        <v>0</v>
      </c>
      <c r="L45" s="183">
        <f>+J45*H45*G45</f>
        <v>1600</v>
      </c>
      <c r="M45" s="181">
        <f>+L45*7.65%</f>
        <v>122.39999999999999</v>
      </c>
      <c r="N45" s="184">
        <v>0</v>
      </c>
      <c r="O45" s="490">
        <v>0</v>
      </c>
      <c r="P45" s="490"/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f>SUM(L45:U45)</f>
        <v>1722.4</v>
      </c>
      <c r="X45" s="138"/>
      <c r="Y45" s="121"/>
    </row>
    <row r="46" spans="1:26" x14ac:dyDescent="0.25">
      <c r="A46" s="130">
        <v>29</v>
      </c>
      <c r="B46" s="131" t="s">
        <v>668</v>
      </c>
      <c r="C46" s="120" t="s">
        <v>612</v>
      </c>
      <c r="D46" s="132" t="s">
        <v>669</v>
      </c>
      <c r="E46" s="120" t="s">
        <v>617</v>
      </c>
      <c r="F46" s="139">
        <v>15</v>
      </c>
      <c r="G46" s="134">
        <v>80</v>
      </c>
      <c r="H46" s="134">
        <v>26</v>
      </c>
      <c r="I46" s="135">
        <f>((K46*F46)+F46)</f>
        <v>16.2</v>
      </c>
      <c r="J46" s="135">
        <f>+I46+0.5</f>
        <v>16.7</v>
      </c>
      <c r="K46" s="136">
        <v>0.08</v>
      </c>
      <c r="L46" s="174">
        <f>+J46*H46*G46</f>
        <v>34736</v>
      </c>
      <c r="M46" s="135">
        <f>+L46*1.45%</f>
        <v>503.67199999999997</v>
      </c>
      <c r="N46" s="135">
        <f>+L46*0.35%</f>
        <v>121.57599999999999</v>
      </c>
      <c r="O46" s="479">
        <f>L46*O$2</f>
        <v>3126.24</v>
      </c>
      <c r="P46" s="479"/>
      <c r="Q46" s="135">
        <v>10.87</v>
      </c>
      <c r="R46" s="135">
        <v>0</v>
      </c>
      <c r="S46" s="135">
        <v>0</v>
      </c>
      <c r="T46" s="135">
        <v>0</v>
      </c>
      <c r="U46" s="135">
        <v>132</v>
      </c>
      <c r="V46" s="121">
        <f>SUM(L46:U46)</f>
        <v>38630.358</v>
      </c>
      <c r="X46" s="138"/>
      <c r="Y46" s="121"/>
    </row>
    <row r="47" spans="1:26" x14ac:dyDescent="0.25">
      <c r="A47" s="130">
        <v>30</v>
      </c>
      <c r="B47" s="120" t="s">
        <v>670</v>
      </c>
      <c r="C47" s="120" t="s">
        <v>612</v>
      </c>
      <c r="D47" s="132" t="s">
        <v>671</v>
      </c>
      <c r="E47" s="120" t="s">
        <v>617</v>
      </c>
      <c r="F47" s="139">
        <v>12.03</v>
      </c>
      <c r="G47" s="134">
        <v>50</v>
      </c>
      <c r="H47" s="134">
        <v>26</v>
      </c>
      <c r="I47" s="135">
        <f>((K47*F47)+F47)</f>
        <v>14.5563</v>
      </c>
      <c r="J47" s="135">
        <f>+I47+0.5</f>
        <v>15.0563</v>
      </c>
      <c r="K47" s="140">
        <v>0.21</v>
      </c>
      <c r="L47" s="174">
        <f>+J47*H47*G47</f>
        <v>19573.189999999999</v>
      </c>
      <c r="M47" s="135">
        <f>+L47*1.45%</f>
        <v>283.81125499999996</v>
      </c>
      <c r="N47" s="135">
        <f>+L47*0.35%</f>
        <v>68.506164999999982</v>
      </c>
      <c r="O47" s="479">
        <f>L47*O$2</f>
        <v>1761.5870999999997</v>
      </c>
      <c r="P47" s="479"/>
      <c r="Q47" s="135">
        <v>10.87</v>
      </c>
      <c r="R47" s="135">
        <v>0</v>
      </c>
      <c r="S47" s="135">
        <v>0</v>
      </c>
      <c r="T47" s="135">
        <v>0</v>
      </c>
      <c r="U47" s="135">
        <v>0</v>
      </c>
      <c r="V47" s="121">
        <f>SUM(L47:U47)</f>
        <v>21697.964519999998</v>
      </c>
      <c r="X47" s="138"/>
      <c r="Y47" s="121"/>
    </row>
    <row r="48" spans="1:26" x14ac:dyDescent="0.25">
      <c r="A48" s="130">
        <v>31</v>
      </c>
      <c r="B48" s="131" t="s">
        <v>720</v>
      </c>
      <c r="C48" s="120" t="s">
        <v>612</v>
      </c>
      <c r="D48" s="132" t="s">
        <v>671</v>
      </c>
      <c r="E48" s="120" t="s">
        <v>617</v>
      </c>
      <c r="F48" s="139">
        <v>14</v>
      </c>
      <c r="G48" s="134">
        <v>40</v>
      </c>
      <c r="H48" s="134">
        <v>26</v>
      </c>
      <c r="I48" s="135">
        <f>(K48*F48)+F48</f>
        <v>14</v>
      </c>
      <c r="J48" s="135">
        <f>+I48+0.5</f>
        <v>14.5</v>
      </c>
      <c r="K48" s="136">
        <v>0</v>
      </c>
      <c r="L48" s="174">
        <f>+J48*H48*G48</f>
        <v>15080</v>
      </c>
      <c r="M48" s="135">
        <f>+L48*1.45%</f>
        <v>218.66</v>
      </c>
      <c r="N48" s="135">
        <f>+L48*0.35%</f>
        <v>52.779999999999994</v>
      </c>
      <c r="O48" s="479">
        <f>L48*O$2</f>
        <v>1357.2</v>
      </c>
      <c r="P48" s="479"/>
      <c r="Q48" s="135">
        <v>10.87</v>
      </c>
      <c r="R48" s="121">
        <v>0</v>
      </c>
      <c r="S48" s="135">
        <v>0</v>
      </c>
      <c r="T48" s="135">
        <v>0</v>
      </c>
      <c r="U48" s="135">
        <v>0</v>
      </c>
      <c r="V48" s="121">
        <f>SUM(L48:U48)</f>
        <v>16719.509999999998</v>
      </c>
      <c r="X48" s="138"/>
      <c r="Y48" s="121"/>
      <c r="Z48" s="138"/>
    </row>
    <row r="49" spans="1:26" x14ac:dyDescent="0.25">
      <c r="A49" s="143"/>
      <c r="B49" s="144"/>
      <c r="C49" s="144"/>
      <c r="D49" s="145"/>
      <c r="E49" s="144"/>
      <c r="F49" s="146"/>
      <c r="G49" s="147"/>
      <c r="H49" s="147"/>
      <c r="I49" s="148"/>
      <c r="J49" s="148"/>
      <c r="K49" s="149"/>
      <c r="L49" s="217">
        <f>+SUM(L44:L48)</f>
        <v>82029.19</v>
      </c>
      <c r="M49" s="218">
        <f>+SUM(M44:M48)</f>
        <v>1973.1032549999998</v>
      </c>
      <c r="N49" s="218">
        <f>+SUM(N44:N48)</f>
        <v>242.86216499999998</v>
      </c>
      <c r="O49" s="218"/>
      <c r="P49" s="218">
        <f>+SUM(O44:P48)</f>
        <v>6245.0270999999993</v>
      </c>
      <c r="Q49" s="218">
        <f t="shared" ref="Q49:V49" si="11">+SUM(Q44:Q48)</f>
        <v>32.61</v>
      </c>
      <c r="R49" s="218">
        <f t="shared" si="11"/>
        <v>0</v>
      </c>
      <c r="S49" s="218">
        <f t="shared" si="11"/>
        <v>0</v>
      </c>
      <c r="T49" s="218">
        <f t="shared" si="11"/>
        <v>0</v>
      </c>
      <c r="U49" s="218">
        <f t="shared" si="11"/>
        <v>132</v>
      </c>
      <c r="V49" s="218">
        <f t="shared" si="11"/>
        <v>90654.792519999988</v>
      </c>
      <c r="X49" s="138"/>
      <c r="Y49" s="121"/>
    </row>
    <row r="50" spans="1:26" x14ac:dyDescent="0.25">
      <c r="A50" s="238"/>
      <c r="B50" s="239" t="s">
        <v>672</v>
      </c>
      <c r="C50" s="239"/>
      <c r="D50" s="240"/>
      <c r="E50" s="241"/>
      <c r="F50" s="242"/>
      <c r="G50" s="243"/>
      <c r="H50" s="243"/>
      <c r="I50" s="244"/>
      <c r="J50" s="244"/>
      <c r="K50" s="245"/>
      <c r="L50" s="246"/>
      <c r="M50" s="244"/>
      <c r="N50" s="244"/>
      <c r="O50" s="247"/>
      <c r="P50" s="247"/>
      <c r="Q50" s="244"/>
      <c r="R50" s="244"/>
      <c r="S50" s="244"/>
      <c r="T50" s="244"/>
      <c r="U50" s="244"/>
      <c r="V50" s="244"/>
      <c r="X50" s="138"/>
      <c r="Y50" s="121"/>
    </row>
    <row r="51" spans="1:26" x14ac:dyDescent="0.25">
      <c r="A51" s="130">
        <v>32</v>
      </c>
      <c r="B51" s="120" t="s">
        <v>673</v>
      </c>
      <c r="C51" s="120" t="s">
        <v>612</v>
      </c>
      <c r="D51" s="132" t="s">
        <v>674</v>
      </c>
      <c r="E51" s="120" t="s">
        <v>617</v>
      </c>
      <c r="F51" s="139">
        <v>21.59</v>
      </c>
      <c r="G51" s="134">
        <v>80</v>
      </c>
      <c r="H51" s="134">
        <v>26</v>
      </c>
      <c r="I51" s="135">
        <f>((F51*K51)+F51)</f>
        <v>23.3172</v>
      </c>
      <c r="J51" s="135">
        <f>+I51+0.5</f>
        <v>23.8172</v>
      </c>
      <c r="K51" s="136">
        <v>0.08</v>
      </c>
      <c r="L51" s="174">
        <f>+J51*H51*G51</f>
        <v>49539.775999999998</v>
      </c>
      <c r="M51" s="135">
        <f>+L51*1.45%</f>
        <v>718.32675199999994</v>
      </c>
      <c r="N51" s="121">
        <f>+L51*0.35%</f>
        <v>173.38921599999998</v>
      </c>
      <c r="O51" s="478">
        <f>+L51*O$2</f>
        <v>4458.5798399999994</v>
      </c>
      <c r="P51" s="478"/>
      <c r="Q51" s="121">
        <v>10.87</v>
      </c>
      <c r="R51" s="121">
        <f>479.42*24</f>
        <v>11506.08</v>
      </c>
      <c r="S51" s="121">
        <f>54.09*12</f>
        <v>649.08000000000004</v>
      </c>
      <c r="T51" s="121">
        <f>13.95*12</f>
        <v>167.39999999999998</v>
      </c>
      <c r="U51" s="121">
        <v>132</v>
      </c>
      <c r="V51" s="121">
        <f>SUM(L51:U51)</f>
        <v>67355.501808000001</v>
      </c>
      <c r="X51" s="138"/>
      <c r="Y51" s="121"/>
    </row>
    <row r="52" spans="1:26" x14ac:dyDescent="0.25">
      <c r="A52" s="130">
        <v>33</v>
      </c>
      <c r="B52" s="120" t="s">
        <v>675</v>
      </c>
      <c r="C52" s="120" t="s">
        <v>612</v>
      </c>
      <c r="D52" s="132" t="s">
        <v>676</v>
      </c>
      <c r="E52" s="120" t="s">
        <v>617</v>
      </c>
      <c r="F52" s="139">
        <v>13.13</v>
      </c>
      <c r="G52" s="134">
        <v>80</v>
      </c>
      <c r="H52" s="134">
        <v>26</v>
      </c>
      <c r="I52" s="135">
        <f>((F52*K52)+F52)</f>
        <v>15.499965000000001</v>
      </c>
      <c r="J52" s="135">
        <f>+I52+0.5</f>
        <v>15.999965000000001</v>
      </c>
      <c r="K52" s="140">
        <v>0.18049999999999999</v>
      </c>
      <c r="L52" s="174">
        <f>+J52*H52*G52</f>
        <v>33279.927200000006</v>
      </c>
      <c r="M52" s="135">
        <f>+L52*1.45%</f>
        <v>482.55894440000003</v>
      </c>
      <c r="N52" s="121">
        <f>+L52*0.35%</f>
        <v>116.47974520000001</v>
      </c>
      <c r="O52" s="478">
        <f>+L52*O$2</f>
        <v>2995.1934480000004</v>
      </c>
      <c r="P52" s="478"/>
      <c r="Q52" s="121">
        <v>10.87</v>
      </c>
      <c r="R52" s="135">
        <v>0</v>
      </c>
      <c r="S52" s="135">
        <v>0</v>
      </c>
      <c r="T52" s="135">
        <v>0</v>
      </c>
      <c r="U52" s="121">
        <v>132</v>
      </c>
      <c r="V52" s="121">
        <f>SUM(L52:U52)</f>
        <v>37017.029337600005</v>
      </c>
      <c r="X52" s="138"/>
      <c r="Y52" s="121"/>
    </row>
    <row r="53" spans="1:26" x14ac:dyDescent="0.25">
      <c r="A53" s="130">
        <v>34</v>
      </c>
      <c r="B53" s="131" t="s">
        <v>677</v>
      </c>
      <c r="C53" s="120" t="s">
        <v>612</v>
      </c>
      <c r="D53" s="248" t="s">
        <v>678</v>
      </c>
      <c r="E53" s="120" t="s">
        <v>617</v>
      </c>
      <c r="F53" s="139">
        <v>12.05</v>
      </c>
      <c r="G53" s="134">
        <v>80</v>
      </c>
      <c r="H53" s="134">
        <v>26</v>
      </c>
      <c r="I53" s="135">
        <f>((F53*K53)+F53)</f>
        <v>14.49615</v>
      </c>
      <c r="J53" s="135">
        <f>+I53+0.5</f>
        <v>14.99615</v>
      </c>
      <c r="K53" s="140">
        <v>0.20300000000000001</v>
      </c>
      <c r="L53" s="174">
        <f>+J53*H53*G53</f>
        <v>31191.991999999998</v>
      </c>
      <c r="M53" s="135">
        <f>+L53*1.45%</f>
        <v>452.28388399999994</v>
      </c>
      <c r="N53" s="121">
        <f>+L53*0.35%</f>
        <v>109.17197199999998</v>
      </c>
      <c r="O53" s="478">
        <f>+L53*O$2</f>
        <v>2807.2792799999997</v>
      </c>
      <c r="P53" s="478"/>
      <c r="Q53" s="121">
        <v>10.87</v>
      </c>
      <c r="R53" s="121">
        <v>0</v>
      </c>
      <c r="S53" s="121">
        <v>0</v>
      </c>
      <c r="T53" s="121">
        <v>0</v>
      </c>
      <c r="U53" s="121">
        <v>132</v>
      </c>
      <c r="V53" s="121">
        <f>SUM(L53:U53)</f>
        <v>34703.597136000004</v>
      </c>
      <c r="X53" s="138"/>
      <c r="Y53" s="121"/>
    </row>
    <row r="54" spans="1:26" x14ac:dyDescent="0.25">
      <c r="A54" s="130">
        <v>35</v>
      </c>
      <c r="B54" s="131" t="s">
        <v>679</v>
      </c>
      <c r="C54" s="120" t="s">
        <v>612</v>
      </c>
      <c r="D54" s="248" t="s">
        <v>678</v>
      </c>
      <c r="E54" s="120" t="s">
        <v>617</v>
      </c>
      <c r="F54" s="139">
        <v>11.5</v>
      </c>
      <c r="G54" s="134">
        <v>80</v>
      </c>
      <c r="H54" s="134">
        <v>26</v>
      </c>
      <c r="I54" s="135">
        <f>((F54*K54)+F54)</f>
        <v>13.9955</v>
      </c>
      <c r="J54" s="135">
        <f>+I54+0.5</f>
        <v>14.4955</v>
      </c>
      <c r="K54" s="140">
        <v>0.217</v>
      </c>
      <c r="L54" s="174">
        <f>+J54*H54*G54</f>
        <v>30150.639999999999</v>
      </c>
      <c r="M54" s="135">
        <f>+L54*1.45%</f>
        <v>437.18427999999994</v>
      </c>
      <c r="N54" s="121">
        <f>+L54*0.35%</f>
        <v>105.52723999999999</v>
      </c>
      <c r="O54" s="478">
        <f>+L54*O$2</f>
        <v>2713.5575999999996</v>
      </c>
      <c r="P54" s="478"/>
      <c r="Q54" s="121">
        <v>10.87</v>
      </c>
      <c r="R54" s="135">
        <v>0</v>
      </c>
      <c r="S54" s="135">
        <f>29.96*12</f>
        <v>359.52</v>
      </c>
      <c r="T54" s="135">
        <f>6.46*12</f>
        <v>77.52</v>
      </c>
      <c r="U54" s="121">
        <v>132</v>
      </c>
      <c r="V54" s="121">
        <f>SUM(L54:U54)</f>
        <v>33986.819119999993</v>
      </c>
      <c r="X54" s="138"/>
      <c r="Y54" s="121"/>
      <c r="Z54" s="138"/>
    </row>
    <row r="55" spans="1:26" x14ac:dyDescent="0.25">
      <c r="A55" s="143"/>
      <c r="B55" s="144"/>
      <c r="C55" s="144"/>
      <c r="D55" s="145"/>
      <c r="E55" s="144"/>
      <c r="F55" s="146"/>
      <c r="G55" s="147"/>
      <c r="H55" s="147"/>
      <c r="I55" s="148"/>
      <c r="J55" s="148"/>
      <c r="K55" s="149"/>
      <c r="L55" s="249">
        <f>+SUM(L51:L54)</f>
        <v>144162.3352</v>
      </c>
      <c r="M55" s="250">
        <f>+SUM(M51:M54)</f>
        <v>2090.3538603999996</v>
      </c>
      <c r="N55" s="250">
        <f>+SUM(N51:N54)</f>
        <v>504.56817319999999</v>
      </c>
      <c r="O55" s="250"/>
      <c r="P55" s="250">
        <f>+SUM(O51:P54)</f>
        <v>12974.610167999999</v>
      </c>
      <c r="Q55" s="250">
        <f t="shared" ref="Q55:V55" si="12">+SUM(Q51:Q54)</f>
        <v>43.48</v>
      </c>
      <c r="R55" s="250">
        <f t="shared" si="12"/>
        <v>11506.08</v>
      </c>
      <c r="S55" s="250">
        <f t="shared" si="12"/>
        <v>1008.6</v>
      </c>
      <c r="T55" s="250">
        <f t="shared" si="12"/>
        <v>244.91999999999996</v>
      </c>
      <c r="U55" s="250">
        <f t="shared" si="12"/>
        <v>528</v>
      </c>
      <c r="V55" s="250">
        <f t="shared" si="12"/>
        <v>173062.94740160002</v>
      </c>
      <c r="X55" s="138"/>
      <c r="Y55" s="121"/>
    </row>
    <row r="56" spans="1:26" x14ac:dyDescent="0.25">
      <c r="A56" s="219"/>
      <c r="B56" s="220" t="s">
        <v>680</v>
      </c>
      <c r="C56" s="220"/>
      <c r="D56" s="222"/>
      <c r="E56" s="221"/>
      <c r="F56" s="223"/>
      <c r="G56" s="224"/>
      <c r="H56" s="224"/>
      <c r="I56" s="225"/>
      <c r="J56" s="225"/>
      <c r="K56" s="226"/>
      <c r="L56" s="227"/>
      <c r="M56" s="225"/>
      <c r="N56" s="225"/>
      <c r="O56" s="228"/>
      <c r="P56" s="228"/>
      <c r="Q56" s="225"/>
      <c r="R56" s="225"/>
      <c r="S56" s="225"/>
      <c r="T56" s="225"/>
      <c r="U56" s="225"/>
      <c r="V56" s="225"/>
      <c r="X56" s="138"/>
      <c r="Y56" s="121"/>
    </row>
    <row r="57" spans="1:26" x14ac:dyDescent="0.25">
      <c r="A57" s="141">
        <v>36</v>
      </c>
      <c r="B57" s="120" t="s">
        <v>681</v>
      </c>
      <c r="C57" s="120" t="s">
        <v>612</v>
      </c>
      <c r="D57" s="132" t="s">
        <v>682</v>
      </c>
      <c r="E57" s="120" t="s">
        <v>614</v>
      </c>
      <c r="F57" s="139">
        <v>27.18</v>
      </c>
      <c r="G57" s="134">
        <v>80</v>
      </c>
      <c r="H57" s="134">
        <v>26</v>
      </c>
      <c r="I57" s="135">
        <f>+((K57*F57)+F57)</f>
        <v>29.354399999999998</v>
      </c>
      <c r="J57" s="135">
        <f>+I57+0.5</f>
        <v>29.854399999999998</v>
      </c>
      <c r="K57" s="161">
        <v>0.08</v>
      </c>
      <c r="L57" s="137">
        <f t="shared" ref="L57:L73" si="13">+J57*H57*G57</f>
        <v>62097.151999999995</v>
      </c>
      <c r="M57" s="135">
        <f t="shared" ref="M57:M74" si="14">+L57*1.45%</f>
        <v>900.40870399999983</v>
      </c>
      <c r="N57" s="121">
        <f t="shared" ref="N57:N74" si="15">+L57*0.35%</f>
        <v>217.34003199999995</v>
      </c>
      <c r="O57" s="478">
        <f>+L57*P$2</f>
        <v>6923.8324479999992</v>
      </c>
      <c r="P57" s="478"/>
      <c r="Q57" s="121">
        <v>10.87</v>
      </c>
      <c r="R57" s="121">
        <v>0</v>
      </c>
      <c r="S57" s="121">
        <f>54.09*12</f>
        <v>649.08000000000004</v>
      </c>
      <c r="T57" s="121">
        <f>13.95*12</f>
        <v>167.39999999999998</v>
      </c>
      <c r="U57" s="121">
        <v>132</v>
      </c>
      <c r="V57" s="121">
        <f>SUM(L57:U57)</f>
        <v>71098.083183999988</v>
      </c>
      <c r="X57" s="138"/>
      <c r="Y57" s="121"/>
    </row>
    <row r="58" spans="1:26" s="177" customFormat="1" x14ac:dyDescent="0.25">
      <c r="A58" s="252">
        <v>37</v>
      </c>
      <c r="B58" s="203" t="s">
        <v>632</v>
      </c>
      <c r="C58" s="177" t="s">
        <v>612</v>
      </c>
      <c r="D58" s="178" t="s">
        <v>683</v>
      </c>
      <c r="E58" s="177" t="s">
        <v>617</v>
      </c>
      <c r="F58" s="179">
        <v>20.95</v>
      </c>
      <c r="G58" s="180">
        <v>86</v>
      </c>
      <c r="H58" s="180">
        <v>26</v>
      </c>
      <c r="I58" s="181">
        <f>+((K58*F58)+F58)</f>
        <v>25.998950000000001</v>
      </c>
      <c r="J58" s="181">
        <f>+I58+0.5</f>
        <v>26.498950000000001</v>
      </c>
      <c r="K58" s="281">
        <v>0.24099999999999999</v>
      </c>
      <c r="L58" s="137">
        <f t="shared" si="13"/>
        <v>59251.652200000004</v>
      </c>
      <c r="M58" s="181">
        <f>+L58*1.45%</f>
        <v>859.14895690000003</v>
      </c>
      <c r="N58" s="184">
        <f>+L58*0.35%</f>
        <v>207.3807827</v>
      </c>
      <c r="O58" s="474">
        <f>+L58*P$2</f>
        <v>6606.5592203000006</v>
      </c>
      <c r="P58" s="474"/>
      <c r="Q58" s="184">
        <v>10.87</v>
      </c>
      <c r="R58" s="181">
        <v>8400</v>
      </c>
      <c r="S58" s="181">
        <v>495</v>
      </c>
      <c r="T58" s="181">
        <v>110</v>
      </c>
      <c r="U58" s="184">
        <v>132</v>
      </c>
      <c r="V58" s="184">
        <f>SUM(L58:U58)</f>
        <v>76072.6111599</v>
      </c>
      <c r="X58" s="185"/>
      <c r="Y58" s="184"/>
    </row>
    <row r="59" spans="1:26" x14ac:dyDescent="0.25">
      <c r="A59" s="141">
        <v>38</v>
      </c>
      <c r="B59" s="120" t="s">
        <v>684</v>
      </c>
      <c r="C59" s="120" t="s">
        <v>612</v>
      </c>
      <c r="D59" s="132" t="s">
        <v>685</v>
      </c>
      <c r="E59" s="120" t="s">
        <v>617</v>
      </c>
      <c r="F59" s="139">
        <v>13.5</v>
      </c>
      <c r="G59" s="134">
        <v>80</v>
      </c>
      <c r="H59" s="134">
        <v>26</v>
      </c>
      <c r="I59" s="135">
        <f>+((K59*F59)+F59)</f>
        <v>17.9955</v>
      </c>
      <c r="J59" s="135">
        <f>+I59+0.5</f>
        <v>18.4955</v>
      </c>
      <c r="K59" s="251">
        <v>0.33300000000000002</v>
      </c>
      <c r="L59" s="137">
        <f t="shared" si="13"/>
        <v>38470.639999999999</v>
      </c>
      <c r="M59" s="135">
        <f t="shared" si="14"/>
        <v>557.82427999999993</v>
      </c>
      <c r="N59" s="121">
        <f t="shared" si="15"/>
        <v>134.64723999999998</v>
      </c>
      <c r="O59" s="478">
        <f>+L59*O2</f>
        <v>3462.3575999999998</v>
      </c>
      <c r="P59" s="478"/>
      <c r="Q59" s="121">
        <v>10.87</v>
      </c>
      <c r="R59" s="135">
        <f>202.27*24</f>
        <v>4854.4800000000005</v>
      </c>
      <c r="S59" s="135">
        <f>29.96*12</f>
        <v>359.52</v>
      </c>
      <c r="T59" s="135">
        <f>6.46*12</f>
        <v>77.52</v>
      </c>
      <c r="U59" s="121">
        <v>132</v>
      </c>
      <c r="V59" s="121">
        <f t="shared" ref="V59:V74" si="16">SUM(L59:U59)</f>
        <v>48059.859120000001</v>
      </c>
      <c r="X59" s="138"/>
      <c r="Y59" s="121"/>
    </row>
    <row r="60" spans="1:26" x14ac:dyDescent="0.25">
      <c r="A60" s="141">
        <v>39</v>
      </c>
      <c r="B60" s="120" t="s">
        <v>686</v>
      </c>
      <c r="C60" s="120" t="s">
        <v>612</v>
      </c>
      <c r="D60" s="132" t="s">
        <v>687</v>
      </c>
      <c r="E60" s="120" t="s">
        <v>617</v>
      </c>
      <c r="F60" s="139">
        <v>19.07</v>
      </c>
      <c r="G60" s="134">
        <v>80</v>
      </c>
      <c r="H60" s="134">
        <v>26</v>
      </c>
      <c r="I60" s="135">
        <f>+((K60*F60)+F60)*1.05</f>
        <v>21.625380000000003</v>
      </c>
      <c r="J60" s="135">
        <f>+I60+0.5</f>
        <v>22.125380000000003</v>
      </c>
      <c r="K60" s="161">
        <v>0.08</v>
      </c>
      <c r="L60" s="137">
        <f t="shared" si="13"/>
        <v>46020.790400000005</v>
      </c>
      <c r="M60" s="135">
        <f t="shared" si="14"/>
        <v>667.30146080000009</v>
      </c>
      <c r="N60" s="121">
        <f t="shared" si="15"/>
        <v>161.07276640000001</v>
      </c>
      <c r="O60" s="478">
        <f t="shared" ref="O60:O73" si="17">+L60*P$2</f>
        <v>5131.3181296000002</v>
      </c>
      <c r="P60" s="478"/>
      <c r="Q60" s="121">
        <v>10.87</v>
      </c>
      <c r="R60" s="135">
        <f>223.69*24</f>
        <v>5368.5599999999995</v>
      </c>
      <c r="S60" s="135">
        <f>29.96*12</f>
        <v>359.52</v>
      </c>
      <c r="T60" s="135">
        <f>6.46*12</f>
        <v>77.52</v>
      </c>
      <c r="U60" s="121">
        <v>132</v>
      </c>
      <c r="V60" s="121">
        <f t="shared" si="16"/>
        <v>57928.952756799998</v>
      </c>
      <c r="X60" s="138"/>
      <c r="Y60" s="121"/>
    </row>
    <row r="61" spans="1:26" x14ac:dyDescent="0.25">
      <c r="A61" s="141">
        <v>40</v>
      </c>
      <c r="B61" s="131" t="s">
        <v>695</v>
      </c>
      <c r="C61" s="120" t="s">
        <v>612</v>
      </c>
      <c r="D61" s="132" t="s">
        <v>687</v>
      </c>
      <c r="E61" s="120" t="s">
        <v>617</v>
      </c>
      <c r="F61" s="139">
        <v>19.07</v>
      </c>
      <c r="G61" s="134">
        <v>80</v>
      </c>
      <c r="H61" s="134">
        <v>26</v>
      </c>
      <c r="I61" s="135">
        <v>20.66</v>
      </c>
      <c r="J61" s="135">
        <f>+I61+0.5</f>
        <v>21.16</v>
      </c>
      <c r="K61" s="161">
        <v>0</v>
      </c>
      <c r="L61" s="137">
        <f t="shared" si="13"/>
        <v>44012.799999999996</v>
      </c>
      <c r="M61" s="135">
        <f t="shared" si="14"/>
        <v>638.18559999999991</v>
      </c>
      <c r="N61" s="121">
        <f t="shared" si="15"/>
        <v>154.04479999999998</v>
      </c>
      <c r="O61" s="478">
        <f>+L61*P$2</f>
        <v>4907.4271999999992</v>
      </c>
      <c r="P61" s="478"/>
      <c r="Q61" s="121">
        <v>10.87</v>
      </c>
      <c r="R61" s="121">
        <f>202.27*24</f>
        <v>4854.4800000000005</v>
      </c>
      <c r="S61" s="135">
        <f>29.96*12</f>
        <v>359.52</v>
      </c>
      <c r="T61" s="135">
        <v>0</v>
      </c>
      <c r="U61" s="121">
        <v>132</v>
      </c>
      <c r="V61" s="121">
        <f t="shared" si="16"/>
        <v>55069.327599999997</v>
      </c>
      <c r="X61" s="138"/>
      <c r="Y61" s="121"/>
    </row>
    <row r="62" spans="1:26" x14ac:dyDescent="0.25">
      <c r="A62" s="141"/>
      <c r="B62" s="131" t="s">
        <v>688</v>
      </c>
      <c r="C62" s="120" t="s">
        <v>612</v>
      </c>
      <c r="D62" s="132" t="s">
        <v>687</v>
      </c>
      <c r="E62" s="120" t="s">
        <v>689</v>
      </c>
      <c r="F62" s="139">
        <v>15</v>
      </c>
      <c r="G62" s="134">
        <v>14</v>
      </c>
      <c r="H62" s="134">
        <v>26</v>
      </c>
      <c r="I62" s="135">
        <f>((K62*F62)+F62)</f>
        <v>15</v>
      </c>
      <c r="J62" s="135">
        <v>15</v>
      </c>
      <c r="K62" s="161">
        <v>0</v>
      </c>
      <c r="L62" s="137">
        <f t="shared" si="13"/>
        <v>5460</v>
      </c>
      <c r="M62" s="135">
        <f t="shared" si="14"/>
        <v>79.169999999999987</v>
      </c>
      <c r="N62" s="121">
        <f t="shared" si="15"/>
        <v>19.11</v>
      </c>
      <c r="O62" s="480">
        <v>0</v>
      </c>
      <c r="P62" s="480"/>
      <c r="Q62" s="121">
        <v>0</v>
      </c>
      <c r="R62" s="121">
        <v>0</v>
      </c>
      <c r="S62" s="135">
        <v>0</v>
      </c>
      <c r="T62" s="135">
        <v>0</v>
      </c>
      <c r="U62" s="121">
        <v>0</v>
      </c>
      <c r="V62" s="121">
        <f t="shared" si="16"/>
        <v>5558.28</v>
      </c>
      <c r="X62" s="138"/>
      <c r="Y62" s="121"/>
    </row>
    <row r="63" spans="1:26" x14ac:dyDescent="0.25">
      <c r="A63" s="141">
        <v>41</v>
      </c>
      <c r="B63" s="120" t="s">
        <v>716</v>
      </c>
      <c r="C63" s="120" t="s">
        <v>612</v>
      </c>
      <c r="D63" s="132" t="s">
        <v>714</v>
      </c>
      <c r="E63" s="120" t="s">
        <v>617</v>
      </c>
      <c r="F63" s="139">
        <v>22.21</v>
      </c>
      <c r="G63" s="134">
        <v>86</v>
      </c>
      <c r="H63" s="134">
        <v>26</v>
      </c>
      <c r="I63" s="135">
        <f>((K63*F63)+F63)+4.4</f>
        <v>28.386800000000001</v>
      </c>
      <c r="J63" s="135">
        <f t="shared" ref="J63:J73" si="18">+I63+0.5</f>
        <v>28.886800000000001</v>
      </c>
      <c r="K63" s="161">
        <v>0.08</v>
      </c>
      <c r="L63" s="137">
        <f t="shared" si="13"/>
        <v>64590.884800000007</v>
      </c>
      <c r="M63" s="135">
        <f t="shared" si="14"/>
        <v>936.56782959999998</v>
      </c>
      <c r="N63" s="121">
        <f t="shared" si="15"/>
        <v>226.06809680000001</v>
      </c>
      <c r="O63" s="478">
        <f t="shared" si="17"/>
        <v>7201.8836552000012</v>
      </c>
      <c r="P63" s="478"/>
      <c r="Q63" s="121">
        <v>10.87</v>
      </c>
      <c r="R63" s="135">
        <f>269.63*24</f>
        <v>6471.12</v>
      </c>
      <c r="S63" s="135">
        <f>29.96*12</f>
        <v>359.52</v>
      </c>
      <c r="T63" s="135">
        <f>6.46*12</f>
        <v>77.52</v>
      </c>
      <c r="U63" s="121">
        <v>132</v>
      </c>
      <c r="V63" s="121">
        <f t="shared" si="16"/>
        <v>80006.434381600004</v>
      </c>
      <c r="X63" s="138"/>
      <c r="Y63" s="121"/>
    </row>
    <row r="64" spans="1:26" x14ac:dyDescent="0.25">
      <c r="A64" s="141">
        <v>42</v>
      </c>
      <c r="B64" s="120" t="s">
        <v>718</v>
      </c>
      <c r="C64" s="120" t="s">
        <v>612</v>
      </c>
      <c r="D64" s="132" t="s">
        <v>715</v>
      </c>
      <c r="E64" s="120" t="s">
        <v>617</v>
      </c>
      <c r="F64" s="139">
        <v>18.22</v>
      </c>
      <c r="G64" s="134">
        <v>86</v>
      </c>
      <c r="H64" s="134">
        <v>26</v>
      </c>
      <c r="I64" s="135">
        <f>((K64*F64)+F64)+3.6</f>
        <v>23.2776</v>
      </c>
      <c r="J64" s="135">
        <f t="shared" si="18"/>
        <v>23.7776</v>
      </c>
      <c r="K64" s="161">
        <v>0.08</v>
      </c>
      <c r="L64" s="137">
        <f t="shared" si="13"/>
        <v>53166.713599999995</v>
      </c>
      <c r="M64" s="135">
        <f>+L64*1.45%</f>
        <v>770.91734719999988</v>
      </c>
      <c r="N64" s="121">
        <f>+L64*0.35%</f>
        <v>186.08349759999996</v>
      </c>
      <c r="O64" s="478">
        <f>+L64*P$2</f>
        <v>5928.0885663999998</v>
      </c>
      <c r="P64" s="478"/>
      <c r="Q64" s="121">
        <v>10.87</v>
      </c>
      <c r="R64" s="135">
        <v>0</v>
      </c>
      <c r="S64" s="135">
        <v>0</v>
      </c>
      <c r="T64" s="135">
        <v>0</v>
      </c>
      <c r="U64" s="121">
        <v>132</v>
      </c>
      <c r="V64" s="121">
        <f>SUM(L64:U64)</f>
        <v>60194.673011199993</v>
      </c>
      <c r="X64" s="138"/>
      <c r="Y64" s="121"/>
    </row>
    <row r="65" spans="1:26" x14ac:dyDescent="0.25">
      <c r="A65" s="141">
        <v>43</v>
      </c>
      <c r="B65" s="131" t="s">
        <v>719</v>
      </c>
      <c r="C65" s="120" t="s">
        <v>612</v>
      </c>
      <c r="D65" s="132" t="s">
        <v>715</v>
      </c>
      <c r="E65" s="120" t="s">
        <v>617</v>
      </c>
      <c r="F65" s="139">
        <v>17.190000000000001</v>
      </c>
      <c r="G65" s="134">
        <v>86</v>
      </c>
      <c r="H65" s="134">
        <v>26</v>
      </c>
      <c r="I65" s="135">
        <f>((K65*F65)+F65)+3.6</f>
        <v>22.165200000000002</v>
      </c>
      <c r="J65" s="135">
        <f t="shared" si="18"/>
        <v>22.665200000000002</v>
      </c>
      <c r="K65" s="161">
        <v>0.08</v>
      </c>
      <c r="L65" s="137">
        <f t="shared" si="13"/>
        <v>50679.387200000005</v>
      </c>
      <c r="M65" s="135">
        <f>+L65*1.45%</f>
        <v>734.85111440000003</v>
      </c>
      <c r="N65" s="121">
        <f>+L65*0.35%</f>
        <v>177.3778552</v>
      </c>
      <c r="O65" s="478">
        <f>+L65*P$2</f>
        <v>5650.751672800001</v>
      </c>
      <c r="P65" s="478"/>
      <c r="Q65" s="121">
        <v>10.87</v>
      </c>
      <c r="R65" s="135">
        <v>0</v>
      </c>
      <c r="S65" s="135">
        <v>0</v>
      </c>
      <c r="T65" s="135">
        <v>0</v>
      </c>
      <c r="U65" s="121">
        <v>132</v>
      </c>
      <c r="V65" s="121">
        <f>SUM(L65:U65)</f>
        <v>57385.237842400013</v>
      </c>
      <c r="X65" s="138"/>
      <c r="Y65" s="121"/>
    </row>
    <row r="66" spans="1:26" x14ac:dyDescent="0.25">
      <c r="A66" s="141">
        <v>44</v>
      </c>
      <c r="B66" s="131" t="s">
        <v>690</v>
      </c>
      <c r="C66" s="120" t="s">
        <v>612</v>
      </c>
      <c r="D66" s="132" t="s">
        <v>691</v>
      </c>
      <c r="E66" s="120" t="s">
        <v>617</v>
      </c>
      <c r="F66" s="139">
        <v>18.73</v>
      </c>
      <c r="G66" s="134">
        <v>86</v>
      </c>
      <c r="H66" s="134">
        <v>26</v>
      </c>
      <c r="I66" s="135">
        <f t="shared" ref="I66:I71" si="19">((K66*F66)+F66)</f>
        <v>20.228400000000001</v>
      </c>
      <c r="J66" s="135">
        <f t="shared" si="18"/>
        <v>20.728400000000001</v>
      </c>
      <c r="K66" s="161">
        <v>0.08</v>
      </c>
      <c r="L66" s="137">
        <f t="shared" si="13"/>
        <v>46348.702400000002</v>
      </c>
      <c r="M66" s="135">
        <f t="shared" si="14"/>
        <v>672.05618479999998</v>
      </c>
      <c r="N66" s="121">
        <f t="shared" si="15"/>
        <v>162.22045839999998</v>
      </c>
      <c r="O66" s="478">
        <f t="shared" si="17"/>
        <v>5167.8803176000001</v>
      </c>
      <c r="P66" s="478"/>
      <c r="Q66" s="121">
        <v>10.87</v>
      </c>
      <c r="R66" s="135">
        <f>197.64*24</f>
        <v>4743.3599999999997</v>
      </c>
      <c r="S66" s="135">
        <v>0</v>
      </c>
      <c r="T66" s="135">
        <f>6.46*12</f>
        <v>77.52</v>
      </c>
      <c r="U66" s="121">
        <v>132</v>
      </c>
      <c r="V66" s="121">
        <f t="shared" si="16"/>
        <v>57314.609360800001</v>
      </c>
      <c r="X66" s="138"/>
      <c r="Y66" s="121"/>
    </row>
    <row r="67" spans="1:26" x14ac:dyDescent="0.25">
      <c r="A67" s="141">
        <v>45</v>
      </c>
      <c r="B67" s="120" t="s">
        <v>692</v>
      </c>
      <c r="C67" s="120" t="s">
        <v>612</v>
      </c>
      <c r="D67" s="132" t="s">
        <v>691</v>
      </c>
      <c r="E67" s="120" t="s">
        <v>617</v>
      </c>
      <c r="F67" s="139">
        <v>17.190000000000001</v>
      </c>
      <c r="G67" s="134">
        <v>86</v>
      </c>
      <c r="H67" s="134">
        <v>26</v>
      </c>
      <c r="I67" s="135">
        <f t="shared" si="19"/>
        <v>18.565200000000001</v>
      </c>
      <c r="J67" s="135">
        <f t="shared" si="18"/>
        <v>19.065200000000001</v>
      </c>
      <c r="K67" s="161">
        <v>0.08</v>
      </c>
      <c r="L67" s="137">
        <f t="shared" si="13"/>
        <v>42629.787199999999</v>
      </c>
      <c r="M67" s="135">
        <f t="shared" si="14"/>
        <v>618.13191439999991</v>
      </c>
      <c r="N67" s="121">
        <f t="shared" si="15"/>
        <v>149.20425519999998</v>
      </c>
      <c r="O67" s="478">
        <f t="shared" si="17"/>
        <v>4753.2212728000004</v>
      </c>
      <c r="P67" s="478"/>
      <c r="Q67" s="121">
        <v>10.87</v>
      </c>
      <c r="R67" s="135">
        <f>197.64*24</f>
        <v>4743.3599999999997</v>
      </c>
      <c r="S67" s="135">
        <f>29.96*12</f>
        <v>359.52</v>
      </c>
      <c r="T67" s="135">
        <f>6.46*12</f>
        <v>77.52</v>
      </c>
      <c r="U67" s="121">
        <v>132</v>
      </c>
      <c r="V67" s="121">
        <f t="shared" si="16"/>
        <v>53473.614642399996</v>
      </c>
      <c r="X67" s="138"/>
      <c r="Y67" s="121"/>
    </row>
    <row r="68" spans="1:26" x14ac:dyDescent="0.25">
      <c r="A68" s="141">
        <v>46</v>
      </c>
      <c r="B68" s="120" t="s">
        <v>693</v>
      </c>
      <c r="C68" s="120" t="s">
        <v>612</v>
      </c>
      <c r="D68" s="132" t="s">
        <v>691</v>
      </c>
      <c r="E68" s="120" t="s">
        <v>617</v>
      </c>
      <c r="F68" s="139">
        <v>18.22</v>
      </c>
      <c r="G68" s="134">
        <v>86</v>
      </c>
      <c r="H68" s="134">
        <v>26</v>
      </c>
      <c r="I68" s="135">
        <f t="shared" si="19"/>
        <v>19.677599999999998</v>
      </c>
      <c r="J68" s="135">
        <f t="shared" si="18"/>
        <v>20.177599999999998</v>
      </c>
      <c r="K68" s="161">
        <v>0.08</v>
      </c>
      <c r="L68" s="137">
        <f t="shared" si="13"/>
        <v>45117.113599999997</v>
      </c>
      <c r="M68" s="135">
        <f t="shared" si="14"/>
        <v>654.19814719999988</v>
      </c>
      <c r="N68" s="121">
        <f t="shared" si="15"/>
        <v>157.90989759999997</v>
      </c>
      <c r="O68" s="478">
        <f t="shared" si="17"/>
        <v>5030.5581664000001</v>
      </c>
      <c r="P68" s="478"/>
      <c r="Q68" s="121">
        <v>10.87</v>
      </c>
      <c r="R68" s="135">
        <v>0</v>
      </c>
      <c r="S68" s="135">
        <v>0</v>
      </c>
      <c r="T68" s="135">
        <v>0</v>
      </c>
      <c r="U68" s="121">
        <v>132</v>
      </c>
      <c r="V68" s="121">
        <f t="shared" si="16"/>
        <v>51102.649811199997</v>
      </c>
      <c r="X68" s="138"/>
      <c r="Y68" s="121"/>
    </row>
    <row r="69" spans="1:26" x14ac:dyDescent="0.25">
      <c r="A69" s="141">
        <v>47</v>
      </c>
      <c r="B69" s="120" t="s">
        <v>694</v>
      </c>
      <c r="C69" s="120" t="s">
        <v>612</v>
      </c>
      <c r="D69" s="132" t="s">
        <v>691</v>
      </c>
      <c r="E69" s="120" t="s">
        <v>617</v>
      </c>
      <c r="F69" s="139">
        <v>17.190000000000001</v>
      </c>
      <c r="G69" s="134">
        <v>86</v>
      </c>
      <c r="H69" s="134">
        <v>26</v>
      </c>
      <c r="I69" s="135">
        <f t="shared" si="19"/>
        <v>18.565200000000001</v>
      </c>
      <c r="J69" s="135">
        <f t="shared" si="18"/>
        <v>19.065200000000001</v>
      </c>
      <c r="K69" s="161">
        <v>0.08</v>
      </c>
      <c r="L69" s="137">
        <f t="shared" si="13"/>
        <v>42629.787199999999</v>
      </c>
      <c r="M69" s="135">
        <f t="shared" si="14"/>
        <v>618.13191439999991</v>
      </c>
      <c r="N69" s="121">
        <f t="shared" si="15"/>
        <v>149.20425519999998</v>
      </c>
      <c r="O69" s="478">
        <f t="shared" si="17"/>
        <v>4753.2212728000004</v>
      </c>
      <c r="P69" s="478"/>
      <c r="Q69" s="121">
        <v>10.87</v>
      </c>
      <c r="R69" s="135">
        <f>197.64*24</f>
        <v>4743.3599999999997</v>
      </c>
      <c r="S69" s="135">
        <f>29.96*12</f>
        <v>359.52</v>
      </c>
      <c r="T69" s="135">
        <f>6.46*12</f>
        <v>77.52</v>
      </c>
      <c r="U69" s="121">
        <v>132</v>
      </c>
      <c r="V69" s="121">
        <f t="shared" si="16"/>
        <v>53473.614642399996</v>
      </c>
      <c r="X69" s="138"/>
      <c r="Y69" s="121"/>
    </row>
    <row r="70" spans="1:26" x14ac:dyDescent="0.25">
      <c r="A70" s="141">
        <v>48</v>
      </c>
      <c r="B70" s="120" t="s">
        <v>696</v>
      </c>
      <c r="C70" s="120" t="s">
        <v>612</v>
      </c>
      <c r="D70" s="132" t="s">
        <v>691</v>
      </c>
      <c r="E70" s="120" t="s">
        <v>617</v>
      </c>
      <c r="F70" s="139">
        <v>18.22</v>
      </c>
      <c r="G70" s="134">
        <v>86</v>
      </c>
      <c r="H70" s="134">
        <v>26</v>
      </c>
      <c r="I70" s="135">
        <f t="shared" si="19"/>
        <v>19.677599999999998</v>
      </c>
      <c r="J70" s="135">
        <f t="shared" si="18"/>
        <v>20.177599999999998</v>
      </c>
      <c r="K70" s="161">
        <v>0.08</v>
      </c>
      <c r="L70" s="137">
        <f t="shared" si="13"/>
        <v>45117.113599999997</v>
      </c>
      <c r="M70" s="135">
        <f t="shared" si="14"/>
        <v>654.19814719999988</v>
      </c>
      <c r="N70" s="121">
        <f t="shared" si="15"/>
        <v>157.90989759999997</v>
      </c>
      <c r="O70" s="478">
        <f t="shared" si="17"/>
        <v>5030.5581664000001</v>
      </c>
      <c r="P70" s="478"/>
      <c r="Q70" s="121">
        <v>10.87</v>
      </c>
      <c r="R70" s="135">
        <f>234.31*24</f>
        <v>5623.4400000000005</v>
      </c>
      <c r="S70" s="135">
        <f>29.96*12</f>
        <v>359.52</v>
      </c>
      <c r="T70" s="135">
        <v>77.52</v>
      </c>
      <c r="U70" s="121">
        <v>132</v>
      </c>
      <c r="V70" s="121">
        <f t="shared" si="16"/>
        <v>57163.129811199993</v>
      </c>
      <c r="X70" s="138"/>
      <c r="Y70" s="121"/>
    </row>
    <row r="71" spans="1:26" x14ac:dyDescent="0.25">
      <c r="A71" s="141">
        <v>49</v>
      </c>
      <c r="B71" s="131" t="s">
        <v>697</v>
      </c>
      <c r="C71" s="120" t="s">
        <v>612</v>
      </c>
      <c r="D71" s="132" t="s">
        <v>691</v>
      </c>
      <c r="E71" s="120" t="s">
        <v>617</v>
      </c>
      <c r="F71" s="139">
        <v>17.190000000000001</v>
      </c>
      <c r="G71" s="134">
        <v>86</v>
      </c>
      <c r="H71" s="134">
        <v>26</v>
      </c>
      <c r="I71" s="135">
        <f t="shared" si="19"/>
        <v>18.565200000000001</v>
      </c>
      <c r="J71" s="135">
        <f t="shared" si="18"/>
        <v>19.065200000000001</v>
      </c>
      <c r="K71" s="161">
        <v>0.08</v>
      </c>
      <c r="L71" s="137">
        <f t="shared" si="13"/>
        <v>42629.787199999999</v>
      </c>
      <c r="M71" s="135">
        <f t="shared" si="14"/>
        <v>618.13191439999991</v>
      </c>
      <c r="N71" s="121">
        <f t="shared" si="15"/>
        <v>149.20425519999998</v>
      </c>
      <c r="O71" s="478">
        <f t="shared" si="17"/>
        <v>4753.2212728000004</v>
      </c>
      <c r="P71" s="478"/>
      <c r="Q71" s="121">
        <v>10.87</v>
      </c>
      <c r="R71" s="121">
        <f>349.92*24</f>
        <v>8398.08</v>
      </c>
      <c r="S71" s="135">
        <v>0</v>
      </c>
      <c r="T71" s="135">
        <v>77.52</v>
      </c>
      <c r="U71" s="121">
        <v>132</v>
      </c>
      <c r="V71" s="121">
        <f t="shared" si="16"/>
        <v>56768.814642400001</v>
      </c>
      <c r="X71" s="138"/>
      <c r="Y71" s="121"/>
    </row>
    <row r="72" spans="1:26" x14ac:dyDescent="0.25">
      <c r="A72" s="141">
        <v>50</v>
      </c>
      <c r="B72" s="131" t="s">
        <v>717</v>
      </c>
      <c r="C72" s="120" t="s">
        <v>612</v>
      </c>
      <c r="D72" s="132" t="s">
        <v>691</v>
      </c>
      <c r="E72" s="120" t="s">
        <v>617</v>
      </c>
      <c r="F72" s="139">
        <v>17.190000000000001</v>
      </c>
      <c r="G72" s="134">
        <v>86</v>
      </c>
      <c r="H72" s="134">
        <v>26</v>
      </c>
      <c r="I72" s="135">
        <v>17.190000000000001</v>
      </c>
      <c r="J72" s="135">
        <f t="shared" si="18"/>
        <v>17.690000000000001</v>
      </c>
      <c r="K72" s="161">
        <v>0.08</v>
      </c>
      <c r="L72" s="137">
        <f t="shared" si="13"/>
        <v>39554.840000000004</v>
      </c>
      <c r="M72" s="135">
        <f>+L72*1.45%</f>
        <v>573.54517999999996</v>
      </c>
      <c r="N72" s="121">
        <f>+L72*0.35%</f>
        <v>138.44193999999999</v>
      </c>
      <c r="O72" s="478">
        <f t="shared" ref="O72" si="20">+L72*P$2</f>
        <v>4410.3646600000002</v>
      </c>
      <c r="P72" s="478"/>
      <c r="Q72" s="121">
        <v>10.87</v>
      </c>
      <c r="R72" s="135">
        <f>+(209.8+193.78)*24</f>
        <v>9685.9200000000019</v>
      </c>
      <c r="S72" s="135">
        <f>54.09*12</f>
        <v>649.08000000000004</v>
      </c>
      <c r="T72" s="135">
        <f>13.95*12</f>
        <v>167.39999999999998</v>
      </c>
      <c r="U72" s="121">
        <v>132</v>
      </c>
      <c r="V72" s="121">
        <f>SUM(L72:U72)</f>
        <v>55322.461780000005</v>
      </c>
      <c r="X72" s="138"/>
      <c r="Y72" s="121"/>
    </row>
    <row r="73" spans="1:26" x14ac:dyDescent="0.25">
      <c r="A73" s="282">
        <v>51</v>
      </c>
      <c r="B73" s="131" t="s">
        <v>721</v>
      </c>
      <c r="C73" s="120" t="s">
        <v>612</v>
      </c>
      <c r="D73" s="132" t="s">
        <v>691</v>
      </c>
      <c r="E73" s="120" t="s">
        <v>617</v>
      </c>
      <c r="F73" s="139">
        <v>17.190000000000001</v>
      </c>
      <c r="G73" s="134">
        <v>86</v>
      </c>
      <c r="H73" s="134">
        <v>26</v>
      </c>
      <c r="I73" s="135">
        <f>+(K73*F73)+F73</f>
        <v>17.190000000000001</v>
      </c>
      <c r="J73" s="135">
        <f t="shared" si="18"/>
        <v>17.690000000000001</v>
      </c>
      <c r="K73" s="161">
        <v>0</v>
      </c>
      <c r="L73" s="137">
        <f t="shared" si="13"/>
        <v>39554.840000000004</v>
      </c>
      <c r="M73" s="135">
        <f t="shared" si="14"/>
        <v>573.54517999999996</v>
      </c>
      <c r="N73" s="121">
        <f t="shared" si="15"/>
        <v>138.44193999999999</v>
      </c>
      <c r="O73" s="478">
        <f t="shared" si="17"/>
        <v>4410.3646600000002</v>
      </c>
      <c r="P73" s="478"/>
      <c r="Q73" s="121">
        <v>10.87</v>
      </c>
      <c r="R73" s="121">
        <f>(431.94+147.65)*24</f>
        <v>13910.16</v>
      </c>
      <c r="S73" s="135">
        <f>29.96*12</f>
        <v>359.52</v>
      </c>
      <c r="T73" s="135">
        <v>121.89</v>
      </c>
      <c r="U73" s="121">
        <v>132</v>
      </c>
      <c r="V73" s="121">
        <f t="shared" si="16"/>
        <v>59211.631780000003</v>
      </c>
      <c r="X73" s="138"/>
      <c r="Y73" s="121"/>
      <c r="Z73" s="138"/>
    </row>
    <row r="74" spans="1:26" x14ac:dyDescent="0.25">
      <c r="A74" s="141"/>
      <c r="B74" s="120" t="s">
        <v>698</v>
      </c>
      <c r="I74" s="135"/>
      <c r="J74" s="135"/>
      <c r="K74" s="161"/>
      <c r="L74" s="137">
        <v>55000</v>
      </c>
      <c r="M74" s="135">
        <f t="shared" si="14"/>
        <v>797.5</v>
      </c>
      <c r="N74" s="121">
        <f t="shared" si="15"/>
        <v>192.49999999999997</v>
      </c>
      <c r="O74" s="476">
        <v>0</v>
      </c>
      <c r="P74" s="476"/>
      <c r="Q74" s="121">
        <v>0</v>
      </c>
      <c r="R74" s="135">
        <v>0</v>
      </c>
      <c r="S74" s="135">
        <v>0</v>
      </c>
      <c r="T74" s="135">
        <v>0</v>
      </c>
      <c r="U74" s="135">
        <v>0</v>
      </c>
      <c r="V74" s="121">
        <f t="shared" si="16"/>
        <v>55990</v>
      </c>
      <c r="X74" s="138"/>
      <c r="Y74" s="121"/>
    </row>
    <row r="75" spans="1:26" x14ac:dyDescent="0.25">
      <c r="A75" s="143"/>
      <c r="B75" s="144"/>
      <c r="C75" s="144"/>
      <c r="D75" s="144"/>
      <c r="E75" s="144"/>
      <c r="F75" s="146"/>
      <c r="G75" s="147"/>
      <c r="H75" s="147"/>
      <c r="I75" s="148"/>
      <c r="J75" s="148"/>
      <c r="K75" s="149"/>
      <c r="L75" s="229">
        <f>+SUM(L57:L74)</f>
        <v>822331.99140000006</v>
      </c>
      <c r="M75" s="230">
        <f>+SUM(M57:M74)</f>
        <v>11923.813875299998</v>
      </c>
      <c r="N75" s="230">
        <f>+SUM(N57:N74)</f>
        <v>2878.1619699000003</v>
      </c>
      <c r="O75" s="230"/>
      <c r="P75" s="230">
        <f>+SUM(O57:P73)</f>
        <v>84121.608281100023</v>
      </c>
      <c r="Q75" s="230">
        <f t="shared" ref="Q75:V75" si="21">+SUM(Q57:Q74)</f>
        <v>173.92000000000004</v>
      </c>
      <c r="R75" s="230">
        <f t="shared" si="21"/>
        <v>81796.320000000007</v>
      </c>
      <c r="S75" s="230">
        <f t="shared" si="21"/>
        <v>4669.32</v>
      </c>
      <c r="T75" s="230">
        <f t="shared" si="21"/>
        <v>1186.8499999999999</v>
      </c>
      <c r="U75" s="230">
        <f t="shared" si="21"/>
        <v>2112</v>
      </c>
      <c r="V75" s="230">
        <f t="shared" si="21"/>
        <v>1011193.9855262999</v>
      </c>
      <c r="X75" s="138"/>
      <c r="Y75" s="121"/>
    </row>
    <row r="76" spans="1:26" x14ac:dyDescent="0.25">
      <c r="A76" s="253"/>
      <c r="B76" s="254" t="s">
        <v>699</v>
      </c>
      <c r="C76" s="254"/>
      <c r="D76" s="255"/>
      <c r="E76" s="254"/>
      <c r="F76" s="256"/>
      <c r="G76" s="257"/>
      <c r="H76" s="257"/>
      <c r="I76" s="258"/>
      <c r="J76" s="258"/>
      <c r="K76" s="259"/>
      <c r="L76" s="260"/>
      <c r="M76" s="258"/>
      <c r="N76" s="258"/>
      <c r="O76" s="261"/>
      <c r="P76" s="261"/>
      <c r="Q76" s="258"/>
      <c r="R76" s="258"/>
      <c r="S76" s="258"/>
      <c r="T76" s="258"/>
      <c r="U76" s="258"/>
      <c r="V76" s="258"/>
      <c r="X76" s="138"/>
      <c r="Y76" s="121"/>
    </row>
    <row r="77" spans="1:26" x14ac:dyDescent="0.25">
      <c r="A77" s="130">
        <v>52</v>
      </c>
      <c r="B77" s="120" t="s">
        <v>700</v>
      </c>
      <c r="C77" s="120" t="s">
        <v>612</v>
      </c>
      <c r="D77" s="132" t="s">
        <v>701</v>
      </c>
      <c r="E77" s="120" t="s">
        <v>617</v>
      </c>
      <c r="F77" s="139">
        <v>19.16</v>
      </c>
      <c r="G77" s="134">
        <v>80</v>
      </c>
      <c r="H77" s="134">
        <v>26</v>
      </c>
      <c r="I77" s="135">
        <f>(K77*F77+F77)</f>
        <v>20.692799999999998</v>
      </c>
      <c r="J77" s="135">
        <f>+I77+0.5</f>
        <v>21.192799999999998</v>
      </c>
      <c r="K77" s="161">
        <v>0.08</v>
      </c>
      <c r="L77" s="137">
        <f>+J77*H77*G77</f>
        <v>44081.023999999998</v>
      </c>
      <c r="M77" s="135">
        <f>+L77*1.45%</f>
        <v>639.17484799999988</v>
      </c>
      <c r="N77" s="135">
        <f>+L77*0.35%</f>
        <v>154.28358399999996</v>
      </c>
      <c r="O77" s="476">
        <f>+L77*O$2</f>
        <v>3967.2921599999995</v>
      </c>
      <c r="P77" s="476"/>
      <c r="Q77" s="135">
        <v>10.87</v>
      </c>
      <c r="R77" s="135">
        <f>991.84*24</f>
        <v>23804.16</v>
      </c>
      <c r="S77" s="135">
        <f>94.28*12</f>
        <v>1131.3600000000001</v>
      </c>
      <c r="T77" s="135">
        <f>18.72*12</f>
        <v>224.64</v>
      </c>
      <c r="U77" s="135">
        <v>132</v>
      </c>
      <c r="V77" s="135">
        <f>SUM(L77:U77)</f>
        <v>74144.804592</v>
      </c>
      <c r="X77" s="138"/>
      <c r="Y77" s="121"/>
    </row>
    <row r="78" spans="1:26" x14ac:dyDescent="0.25">
      <c r="A78" s="130">
        <v>53</v>
      </c>
      <c r="B78" s="131" t="s">
        <v>702</v>
      </c>
      <c r="C78" s="120" t="s">
        <v>612</v>
      </c>
      <c r="D78" s="132" t="s">
        <v>703</v>
      </c>
      <c r="E78" s="120" t="s">
        <v>617</v>
      </c>
      <c r="F78" s="133">
        <v>11.75</v>
      </c>
      <c r="G78" s="134">
        <v>80</v>
      </c>
      <c r="H78" s="134">
        <v>26</v>
      </c>
      <c r="I78" s="135">
        <f>(K78*F78+F78)</f>
        <v>14.998875</v>
      </c>
      <c r="J78" s="135">
        <f>+I78+0.5</f>
        <v>15.498875</v>
      </c>
      <c r="K78" s="142">
        <v>0.27650000000000002</v>
      </c>
      <c r="L78" s="137">
        <f>+J78*H78*G78</f>
        <v>32237.66</v>
      </c>
      <c r="M78" s="135">
        <f>+L78*1.45%</f>
        <v>467.44606999999996</v>
      </c>
      <c r="N78" s="135">
        <f>+L78*0.35%</f>
        <v>112.83180999999999</v>
      </c>
      <c r="O78" s="476">
        <f>+L78*O$2</f>
        <v>2901.3894</v>
      </c>
      <c r="P78" s="476"/>
      <c r="Q78" s="135">
        <v>10.87</v>
      </c>
      <c r="R78" s="135">
        <v>0</v>
      </c>
      <c r="S78" s="135">
        <f>29.96*12</f>
        <v>359.52</v>
      </c>
      <c r="T78" s="135">
        <f>6.46*12</f>
        <v>77.52</v>
      </c>
      <c r="U78" s="135">
        <v>132</v>
      </c>
      <c r="V78" s="135">
        <f>SUM(L78:U78)</f>
        <v>36299.237280000001</v>
      </c>
      <c r="X78" s="138"/>
      <c r="Y78" s="121"/>
    </row>
    <row r="79" spans="1:26" x14ac:dyDescent="0.25">
      <c r="A79" s="130">
        <v>54</v>
      </c>
      <c r="B79" s="131" t="s">
        <v>704</v>
      </c>
      <c r="C79" s="120" t="s">
        <v>612</v>
      </c>
      <c r="D79" s="132" t="s">
        <v>703</v>
      </c>
      <c r="E79" s="120" t="s">
        <v>617</v>
      </c>
      <c r="F79" s="133">
        <v>11.75</v>
      </c>
      <c r="G79" s="134">
        <v>80</v>
      </c>
      <c r="H79" s="134">
        <v>26</v>
      </c>
      <c r="I79" s="135">
        <f>(K79*F79+F79)</f>
        <v>14.998875</v>
      </c>
      <c r="J79" s="135">
        <f>+I79+0.5</f>
        <v>15.498875</v>
      </c>
      <c r="K79" s="142">
        <v>0.27650000000000002</v>
      </c>
      <c r="L79" s="137">
        <f>+J79*H79*G79</f>
        <v>32237.66</v>
      </c>
      <c r="M79" s="135">
        <f>+L79*1.45%</f>
        <v>467.44606999999996</v>
      </c>
      <c r="N79" s="135">
        <f>+L79*0.35%</f>
        <v>112.83180999999999</v>
      </c>
      <c r="O79" s="476">
        <f>+L79*O$2</f>
        <v>2901.3894</v>
      </c>
      <c r="P79" s="476"/>
      <c r="Q79" s="135">
        <v>10.87</v>
      </c>
      <c r="R79" s="121">
        <v>0</v>
      </c>
      <c r="S79" s="135">
        <v>0</v>
      </c>
      <c r="T79" s="135">
        <v>0</v>
      </c>
      <c r="U79" s="135">
        <v>132</v>
      </c>
      <c r="V79" s="135">
        <f>SUM(L79:U79)</f>
        <v>35862.197280000008</v>
      </c>
      <c r="X79" s="138"/>
      <c r="Y79" s="121"/>
      <c r="Z79" s="138"/>
    </row>
    <row r="80" spans="1:26" x14ac:dyDescent="0.25">
      <c r="B80" s="120" t="s">
        <v>698</v>
      </c>
      <c r="D80" s="132"/>
      <c r="I80" s="135"/>
      <c r="J80" s="135"/>
      <c r="K80" s="161"/>
      <c r="L80" s="137">
        <v>6000</v>
      </c>
      <c r="M80" s="135">
        <f>+L80*1.45%</f>
        <v>87</v>
      </c>
      <c r="N80" s="135">
        <f>+L80*0.35%</f>
        <v>20.999999999999996</v>
      </c>
      <c r="O80" s="476">
        <v>0</v>
      </c>
      <c r="P80" s="476"/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f>SUM(L80:U80)</f>
        <v>6108</v>
      </c>
      <c r="X80" s="138"/>
      <c r="Y80" s="121"/>
    </row>
    <row r="81" spans="1:26" x14ac:dyDescent="0.25">
      <c r="A81" s="143"/>
      <c r="B81" s="144"/>
      <c r="C81" s="144"/>
      <c r="D81" s="144"/>
      <c r="E81" s="144"/>
      <c r="F81" s="146"/>
      <c r="G81" s="147"/>
      <c r="H81" s="147"/>
      <c r="I81" s="148"/>
      <c r="J81" s="148"/>
      <c r="K81" s="149"/>
      <c r="L81" s="262">
        <f>SUM(L77:L80)</f>
        <v>114556.344</v>
      </c>
      <c r="M81" s="263">
        <f>SUM(M77:M80)</f>
        <v>1661.0669879999998</v>
      </c>
      <c r="N81" s="263">
        <f>SUM(N77:N80)</f>
        <v>400.94720399999994</v>
      </c>
      <c r="O81" s="263"/>
      <c r="P81" s="263">
        <f>+SUM(O77:P80)</f>
        <v>9770.0709599999991</v>
      </c>
      <c r="Q81" s="263">
        <f t="shared" ref="Q81:V81" si="22">SUM(Q77:Q80)</f>
        <v>32.61</v>
      </c>
      <c r="R81" s="263">
        <f t="shared" si="22"/>
        <v>23804.16</v>
      </c>
      <c r="S81" s="263">
        <f t="shared" si="22"/>
        <v>1490.88</v>
      </c>
      <c r="T81" s="263">
        <f t="shared" si="22"/>
        <v>302.15999999999997</v>
      </c>
      <c r="U81" s="263">
        <f t="shared" si="22"/>
        <v>396</v>
      </c>
      <c r="V81" s="263">
        <f t="shared" si="22"/>
        <v>152414.23915199999</v>
      </c>
      <c r="X81" s="138"/>
      <c r="Y81" s="121"/>
    </row>
    <row r="82" spans="1:26" x14ac:dyDescent="0.25">
      <c r="A82" s="264"/>
      <c r="B82" s="265" t="s">
        <v>705</v>
      </c>
      <c r="C82" s="265"/>
      <c r="D82" s="266"/>
      <c r="E82" s="267"/>
      <c r="F82" s="268"/>
      <c r="G82" s="269"/>
      <c r="H82" s="269"/>
      <c r="I82" s="270"/>
      <c r="J82" s="270"/>
      <c r="K82" s="271"/>
      <c r="L82" s="272"/>
      <c r="M82" s="270"/>
      <c r="N82" s="270"/>
      <c r="O82" s="273"/>
      <c r="P82" s="273"/>
      <c r="Q82" s="270"/>
      <c r="R82" s="270"/>
      <c r="S82" s="270"/>
      <c r="T82" s="270"/>
      <c r="U82" s="270"/>
      <c r="V82" s="270"/>
      <c r="X82" s="138"/>
      <c r="Y82" s="121"/>
    </row>
    <row r="83" spans="1:26" x14ac:dyDescent="0.25">
      <c r="A83" s="141">
        <v>55</v>
      </c>
      <c r="B83" s="131" t="s">
        <v>706</v>
      </c>
      <c r="C83" s="120" t="s">
        <v>612</v>
      </c>
      <c r="D83" s="132" t="s">
        <v>707</v>
      </c>
      <c r="E83" s="120" t="s">
        <v>617</v>
      </c>
      <c r="F83" s="139">
        <v>19.7</v>
      </c>
      <c r="G83" s="134">
        <v>80</v>
      </c>
      <c r="H83" s="134">
        <v>26</v>
      </c>
      <c r="I83" s="135">
        <v>21.18</v>
      </c>
      <c r="J83" s="135">
        <f>+I83+0.5</f>
        <v>21.68</v>
      </c>
      <c r="K83" s="161">
        <v>0.08</v>
      </c>
      <c r="L83" s="174">
        <f t="shared" ref="L83:L89" si="23">+J83*H83*G83</f>
        <v>45094.399999999994</v>
      </c>
      <c r="M83" s="135">
        <f t="shared" ref="M83:M90" si="24">+L83*1.45%</f>
        <v>653.86879999999985</v>
      </c>
      <c r="N83" s="135">
        <f t="shared" ref="N83:N90" si="25">+L83*0.35%</f>
        <v>157.83039999999997</v>
      </c>
      <c r="O83" s="478">
        <f>+L83*O2</f>
        <v>4058.4959999999992</v>
      </c>
      <c r="P83" s="478"/>
      <c r="Q83" s="121">
        <v>10.87</v>
      </c>
      <c r="R83" s="121">
        <f>393.73*24</f>
        <v>9449.52</v>
      </c>
      <c r="S83" s="121">
        <f>29.96*12</f>
        <v>359.52</v>
      </c>
      <c r="T83" s="121">
        <f>6.46*12</f>
        <v>77.52</v>
      </c>
      <c r="U83" s="121">
        <v>132</v>
      </c>
      <c r="V83" s="121">
        <f t="shared" ref="V83:V90" si="26">SUM(L83:U83)</f>
        <v>59994.025199999989</v>
      </c>
      <c r="X83" s="138"/>
      <c r="Y83" s="121"/>
    </row>
    <row r="84" spans="1:26" x14ac:dyDescent="0.25">
      <c r="A84" s="141">
        <v>56</v>
      </c>
      <c r="B84" s="131" t="s">
        <v>708</v>
      </c>
      <c r="C84" s="120" t="s">
        <v>612</v>
      </c>
      <c r="D84" s="132" t="s">
        <v>709</v>
      </c>
      <c r="E84" s="120" t="s">
        <v>617</v>
      </c>
      <c r="F84" s="133">
        <v>15.11</v>
      </c>
      <c r="G84" s="134">
        <v>80</v>
      </c>
      <c r="H84" s="134">
        <v>26</v>
      </c>
      <c r="I84" s="135">
        <v>16.32</v>
      </c>
      <c r="J84" s="135">
        <f>+I84+0.5</f>
        <v>16.82</v>
      </c>
      <c r="K84" s="161">
        <v>0.08</v>
      </c>
      <c r="L84" s="174">
        <f t="shared" si="23"/>
        <v>34985.599999999999</v>
      </c>
      <c r="M84" s="135">
        <f t="shared" si="24"/>
        <v>507.29119999999995</v>
      </c>
      <c r="N84" s="135">
        <f t="shared" si="25"/>
        <v>122.44959999999998</v>
      </c>
      <c r="O84" s="478">
        <f>+L84*O$2</f>
        <v>3148.7039999999997</v>
      </c>
      <c r="P84" s="478"/>
      <c r="Q84" s="135">
        <v>10.87</v>
      </c>
      <c r="R84" s="135">
        <v>0</v>
      </c>
      <c r="S84" s="135">
        <v>0</v>
      </c>
      <c r="T84" s="135">
        <v>0</v>
      </c>
      <c r="U84" s="121">
        <v>132</v>
      </c>
      <c r="V84" s="121">
        <f t="shared" si="26"/>
        <v>38906.914799999999</v>
      </c>
      <c r="X84" s="138"/>
      <c r="Y84" s="121"/>
    </row>
    <row r="85" spans="1:26" x14ac:dyDescent="0.25">
      <c r="A85" s="141">
        <v>57</v>
      </c>
      <c r="B85" s="131" t="s">
        <v>710</v>
      </c>
      <c r="C85" s="120" t="s">
        <v>612</v>
      </c>
      <c r="D85" s="132" t="s">
        <v>711</v>
      </c>
      <c r="E85" s="120" t="s">
        <v>617</v>
      </c>
      <c r="F85" s="133">
        <v>14.46</v>
      </c>
      <c r="G85" s="134">
        <v>80</v>
      </c>
      <c r="H85" s="134">
        <v>26</v>
      </c>
      <c r="I85" s="135">
        <v>15.62</v>
      </c>
      <c r="J85" s="135">
        <f>+I85+0.5</f>
        <v>16.119999999999997</v>
      </c>
      <c r="K85" s="161">
        <v>0.08</v>
      </c>
      <c r="L85" s="174">
        <f t="shared" si="23"/>
        <v>33529.599999999999</v>
      </c>
      <c r="M85" s="135">
        <f t="shared" si="24"/>
        <v>486.17919999999992</v>
      </c>
      <c r="N85" s="135">
        <f t="shared" si="25"/>
        <v>117.35359999999999</v>
      </c>
      <c r="O85" s="478">
        <f>+L85*O$2</f>
        <v>3017.6639999999998</v>
      </c>
      <c r="P85" s="478"/>
      <c r="Q85" s="135">
        <v>10.87</v>
      </c>
      <c r="R85" s="135">
        <v>0</v>
      </c>
      <c r="S85" s="135">
        <v>0</v>
      </c>
      <c r="T85" s="135">
        <v>0</v>
      </c>
      <c r="U85" s="121">
        <v>132</v>
      </c>
      <c r="V85" s="121">
        <f t="shared" si="26"/>
        <v>37293.666799999999</v>
      </c>
      <c r="X85" s="138"/>
      <c r="Y85" s="121"/>
    </row>
    <row r="86" spans="1:26" x14ac:dyDescent="0.25">
      <c r="A86" s="141">
        <v>58</v>
      </c>
      <c r="B86" s="131" t="s">
        <v>712</v>
      </c>
      <c r="C86" s="120" t="s">
        <v>612</v>
      </c>
      <c r="D86" s="132" t="s">
        <v>711</v>
      </c>
      <c r="E86" s="120" t="s">
        <v>617</v>
      </c>
      <c r="F86" s="133">
        <v>12.11</v>
      </c>
      <c r="G86" s="134">
        <v>80</v>
      </c>
      <c r="H86" s="134">
        <v>26</v>
      </c>
      <c r="I86" s="135">
        <v>14</v>
      </c>
      <c r="J86" s="135">
        <f>+I86+0.5</f>
        <v>14.5</v>
      </c>
      <c r="K86" s="142">
        <v>0.156</v>
      </c>
      <c r="L86" s="174">
        <f t="shared" si="23"/>
        <v>30160</v>
      </c>
      <c r="M86" s="135">
        <f t="shared" si="24"/>
        <v>437.32</v>
      </c>
      <c r="N86" s="135">
        <f t="shared" si="25"/>
        <v>105.55999999999999</v>
      </c>
      <c r="O86" s="478">
        <v>0</v>
      </c>
      <c r="P86" s="478"/>
      <c r="Q86" s="135">
        <v>10.87</v>
      </c>
      <c r="R86" s="135">
        <f>491.78*24</f>
        <v>11802.72</v>
      </c>
      <c r="S86" s="135">
        <f>29.96*12</f>
        <v>359.52</v>
      </c>
      <c r="T86" s="135">
        <v>77.52</v>
      </c>
      <c r="U86" s="121">
        <v>132</v>
      </c>
      <c r="V86" s="121">
        <f t="shared" si="26"/>
        <v>43085.509999999995</v>
      </c>
      <c r="X86" s="138"/>
      <c r="Y86" s="121"/>
    </row>
    <row r="87" spans="1:26" x14ac:dyDescent="0.25">
      <c r="A87" s="141">
        <v>59</v>
      </c>
      <c r="B87" s="131" t="s">
        <v>713</v>
      </c>
      <c r="C87" s="120" t="s">
        <v>612</v>
      </c>
      <c r="D87" s="132" t="s">
        <v>711</v>
      </c>
      <c r="E87" s="120" t="s">
        <v>617</v>
      </c>
      <c r="F87" s="133">
        <v>12.11</v>
      </c>
      <c r="G87" s="134">
        <v>80</v>
      </c>
      <c r="H87" s="134">
        <v>26</v>
      </c>
      <c r="I87" s="135">
        <v>14</v>
      </c>
      <c r="J87" s="135">
        <f>+I87+0.5</f>
        <v>14.5</v>
      </c>
      <c r="K87" s="142">
        <v>0.156</v>
      </c>
      <c r="L87" s="174">
        <f t="shared" si="23"/>
        <v>30160</v>
      </c>
      <c r="M87" s="135">
        <f>+L87*1.45%</f>
        <v>437.32</v>
      </c>
      <c r="N87" s="135">
        <f t="shared" si="25"/>
        <v>105.55999999999999</v>
      </c>
      <c r="O87" s="478">
        <f t="shared" ref="O87" si="27">+L87*O$2</f>
        <v>2714.4</v>
      </c>
      <c r="P87" s="478"/>
      <c r="Q87" s="135">
        <v>10.87</v>
      </c>
      <c r="R87" s="135">
        <f>193.78*24</f>
        <v>4650.72</v>
      </c>
      <c r="S87" s="135">
        <f>29.96*12</f>
        <v>359.52</v>
      </c>
      <c r="T87" s="135">
        <v>77.52</v>
      </c>
      <c r="U87" s="121">
        <v>132</v>
      </c>
      <c r="V87" s="121">
        <f>SUM(L87:U87)</f>
        <v>38647.909999999996</v>
      </c>
      <c r="X87" s="138"/>
      <c r="Y87" s="121"/>
      <c r="Z87" s="138"/>
    </row>
    <row r="88" spans="1:26" s="177" customFormat="1" x14ac:dyDescent="0.25">
      <c r="A88" s="252">
        <v>60</v>
      </c>
      <c r="B88" s="203" t="s">
        <v>632</v>
      </c>
      <c r="C88" s="177" t="s">
        <v>612</v>
      </c>
      <c r="D88" s="178" t="s">
        <v>711</v>
      </c>
      <c r="E88" s="177" t="s">
        <v>617</v>
      </c>
      <c r="F88" s="236">
        <v>0</v>
      </c>
      <c r="G88" s="180">
        <v>80</v>
      </c>
      <c r="H88" s="180">
        <v>26</v>
      </c>
      <c r="I88" s="181">
        <v>14</v>
      </c>
      <c r="J88" s="181">
        <v>14.5</v>
      </c>
      <c r="K88" s="274"/>
      <c r="L88" s="183">
        <f t="shared" si="23"/>
        <v>30160</v>
      </c>
      <c r="M88" s="181">
        <f t="shared" ref="M88:M89" si="28">+L88*1.45%</f>
        <v>437.32</v>
      </c>
      <c r="N88" s="181">
        <f>+L88*0.35%</f>
        <v>105.55999999999999</v>
      </c>
      <c r="O88" s="474">
        <f>+L88*O$2</f>
        <v>2714.4</v>
      </c>
      <c r="P88" s="474"/>
      <c r="Q88" s="181">
        <v>10.87</v>
      </c>
      <c r="R88" s="181">
        <v>8400</v>
      </c>
      <c r="S88" s="181">
        <v>495</v>
      </c>
      <c r="T88" s="181">
        <v>110</v>
      </c>
      <c r="U88" s="181">
        <v>132</v>
      </c>
      <c r="V88" s="184">
        <f t="shared" ref="V88:V89" si="29">SUM(L88:U88)</f>
        <v>42565.15</v>
      </c>
      <c r="X88" s="185"/>
      <c r="Y88" s="184"/>
      <c r="Z88" s="185"/>
    </row>
    <row r="89" spans="1:26" s="177" customFormat="1" x14ac:dyDescent="0.25">
      <c r="A89" s="252">
        <v>61</v>
      </c>
      <c r="B89" s="203" t="s">
        <v>632</v>
      </c>
      <c r="C89" s="177" t="s">
        <v>612</v>
      </c>
      <c r="D89" s="178" t="s">
        <v>711</v>
      </c>
      <c r="E89" s="177" t="s">
        <v>617</v>
      </c>
      <c r="F89" s="236">
        <v>0</v>
      </c>
      <c r="G89" s="180">
        <v>80</v>
      </c>
      <c r="H89" s="180">
        <v>26</v>
      </c>
      <c r="I89" s="181">
        <v>14</v>
      </c>
      <c r="J89" s="181">
        <v>14.5</v>
      </c>
      <c r="K89" s="274"/>
      <c r="L89" s="183">
        <f t="shared" si="23"/>
        <v>30160</v>
      </c>
      <c r="M89" s="181">
        <f t="shared" si="28"/>
        <v>437.32</v>
      </c>
      <c r="N89" s="181">
        <f>+L89*0.35%</f>
        <v>105.55999999999999</v>
      </c>
      <c r="O89" s="474">
        <f>+L89*O$2</f>
        <v>2714.4</v>
      </c>
      <c r="P89" s="474"/>
      <c r="Q89" s="181">
        <v>10.87</v>
      </c>
      <c r="R89" s="181">
        <v>8400</v>
      </c>
      <c r="S89" s="181">
        <v>495</v>
      </c>
      <c r="T89" s="181">
        <v>110</v>
      </c>
      <c r="U89" s="181">
        <v>132</v>
      </c>
      <c r="V89" s="184">
        <f t="shared" si="29"/>
        <v>42565.15</v>
      </c>
      <c r="X89" s="185"/>
      <c r="Y89" s="184"/>
      <c r="Z89" s="185"/>
    </row>
    <row r="90" spans="1:26" x14ac:dyDescent="0.25">
      <c r="A90" s="141"/>
      <c r="B90" s="131" t="s">
        <v>698</v>
      </c>
      <c r="F90" s="133"/>
      <c r="I90" s="135"/>
      <c r="J90" s="135"/>
      <c r="K90" s="161"/>
      <c r="L90" s="137">
        <v>4000</v>
      </c>
      <c r="M90" s="135">
        <f t="shared" si="24"/>
        <v>57.999999999999993</v>
      </c>
      <c r="N90" s="135">
        <f t="shared" si="25"/>
        <v>13.999999999999998</v>
      </c>
      <c r="O90" s="478">
        <v>0</v>
      </c>
      <c r="P90" s="478"/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21">
        <f t="shared" si="26"/>
        <v>4072</v>
      </c>
      <c r="X90" s="138"/>
    </row>
    <row r="91" spans="1:26" x14ac:dyDescent="0.25">
      <c r="F91" s="133"/>
      <c r="I91" s="135"/>
      <c r="J91" s="135"/>
      <c r="K91" s="161"/>
      <c r="L91" s="272">
        <f>+SUM(L83:L90)</f>
        <v>238249.60000000001</v>
      </c>
      <c r="M91" s="272">
        <f t="shared" ref="M91:V91" si="30">+SUM(M83:M90)</f>
        <v>3454.6192000000005</v>
      </c>
      <c r="N91" s="272">
        <f t="shared" si="30"/>
        <v>833.87359999999978</v>
      </c>
      <c r="O91" s="272"/>
      <c r="P91" s="272">
        <f>SUM(O83:P90)</f>
        <v>18368.063999999998</v>
      </c>
      <c r="Q91" s="272">
        <f t="shared" si="30"/>
        <v>76.09</v>
      </c>
      <c r="R91" s="272">
        <f t="shared" si="30"/>
        <v>42702.96</v>
      </c>
      <c r="S91" s="272">
        <f t="shared" si="30"/>
        <v>2068.56</v>
      </c>
      <c r="T91" s="272">
        <f t="shared" si="30"/>
        <v>452.56</v>
      </c>
      <c r="U91" s="272">
        <f t="shared" si="30"/>
        <v>924</v>
      </c>
      <c r="V91" s="272">
        <f t="shared" si="30"/>
        <v>307130.32679999998</v>
      </c>
    </row>
    <row r="92" spans="1:26" x14ac:dyDescent="0.25">
      <c r="D92" s="132"/>
      <c r="I92" s="135"/>
      <c r="J92" s="135"/>
      <c r="K92" s="161"/>
      <c r="L92" s="137"/>
      <c r="M92" s="135"/>
      <c r="N92" s="135"/>
      <c r="O92" s="275"/>
      <c r="P92" s="275"/>
      <c r="Q92" s="135"/>
      <c r="R92" s="135"/>
      <c r="S92" s="135"/>
      <c r="T92" s="135"/>
      <c r="U92" s="135"/>
      <c r="V92" s="135"/>
    </row>
    <row r="93" spans="1:26" ht="15.75" thickBot="1" x14ac:dyDescent="0.3">
      <c r="D93" s="132"/>
      <c r="F93" s="276"/>
      <c r="L93" s="277">
        <f>+L91+L81+L75+L55+L49+L42+L37+L22+L19+L16+L10+L7</f>
        <v>1941758.7406000001</v>
      </c>
      <c r="M93" s="277">
        <f>+M91+M81+M75+M55+M49+M42+M37+M22+M19+M16+M10+M7</f>
        <v>31306.774138699999</v>
      </c>
      <c r="N93" s="277">
        <f>+N91+N81+N75+N55+N49+N42+N37+N22+N19+N16+N10+N7</f>
        <v>6618.2855921</v>
      </c>
      <c r="O93" s="484">
        <f>+P91+P81+P75+P55+P49+P42+P22+P19+P16+P7</f>
        <v>176681.81570909999</v>
      </c>
      <c r="P93" s="484"/>
      <c r="Q93" s="277">
        <f t="shared" ref="Q93:V93" si="31">+Q91+Q81+Q75+Q55+Q49+Q42+Q37+Q22+Q19+Q16+Q10+Q7</f>
        <v>489.15000000000015</v>
      </c>
      <c r="R93" s="277">
        <f t="shared" si="31"/>
        <v>208428</v>
      </c>
      <c r="S93" s="277">
        <f t="shared" si="31"/>
        <v>13545.120000000003</v>
      </c>
      <c r="T93" s="277">
        <f t="shared" si="31"/>
        <v>3036.2899999999995</v>
      </c>
      <c r="U93" s="277">
        <f t="shared" si="31"/>
        <v>5506.9</v>
      </c>
      <c r="V93" s="277">
        <f t="shared" si="31"/>
        <v>2387371.0760398996</v>
      </c>
      <c r="Z93" s="138"/>
    </row>
    <row r="94" spans="1:26" ht="15.75" thickTop="1" x14ac:dyDescent="0.25"/>
    <row r="95" spans="1:26" x14ac:dyDescent="0.25">
      <c r="Z95" s="278"/>
    </row>
    <row r="96" spans="1:26" x14ac:dyDescent="0.25">
      <c r="Z96" s="278"/>
    </row>
    <row r="97" spans="1:26" x14ac:dyDescent="0.25">
      <c r="R97" s="135"/>
      <c r="V97" s="174"/>
      <c r="Z97" s="278"/>
    </row>
    <row r="98" spans="1:26" x14ac:dyDescent="0.25">
      <c r="R98" s="135"/>
      <c r="S98" s="135"/>
      <c r="T98" s="135"/>
      <c r="X98" s="279"/>
      <c r="Y98" s="279"/>
      <c r="Z98" s="280"/>
    </row>
    <row r="99" spans="1:26" x14ac:dyDescent="0.25">
      <c r="R99" s="135"/>
      <c r="T99" s="135"/>
      <c r="Z99" s="280"/>
    </row>
    <row r="100" spans="1:26" x14ac:dyDescent="0.25">
      <c r="R100" s="135"/>
      <c r="S100" s="135"/>
      <c r="T100" s="135"/>
    </row>
    <row r="101" spans="1:26" x14ac:dyDescent="0.25">
      <c r="R101" s="135"/>
      <c r="S101" s="135"/>
      <c r="T101" s="135"/>
    </row>
    <row r="102" spans="1:26" x14ac:dyDescent="0.25">
      <c r="R102" s="135"/>
      <c r="S102" s="135"/>
      <c r="T102" s="135"/>
    </row>
    <row r="103" spans="1:26" x14ac:dyDescent="0.25">
      <c r="S103" s="135"/>
      <c r="T103" s="135"/>
    </row>
    <row r="104" spans="1:26" x14ac:dyDescent="0.25">
      <c r="R104" s="135"/>
      <c r="S104" s="135"/>
      <c r="T104" s="135"/>
    </row>
    <row r="105" spans="1:26" x14ac:dyDescent="0.25">
      <c r="R105" s="135"/>
      <c r="S105" s="135"/>
      <c r="T105" s="135"/>
    </row>
    <row r="106" spans="1:26" x14ac:dyDescent="0.25">
      <c r="S106" s="135"/>
      <c r="T106" s="135"/>
    </row>
    <row r="107" spans="1:26" x14ac:dyDescent="0.25">
      <c r="R107" s="135"/>
    </row>
    <row r="108" spans="1:26" x14ac:dyDescent="0.25">
      <c r="S108" s="135"/>
    </row>
    <row r="109" spans="1:26" x14ac:dyDescent="0.25">
      <c r="S109" s="135"/>
      <c r="T109" s="135"/>
    </row>
    <row r="110" spans="1:26" x14ac:dyDescent="0.25">
      <c r="R110" s="135"/>
    </row>
    <row r="111" spans="1:26" x14ac:dyDescent="0.25">
      <c r="R111" s="135"/>
      <c r="S111" s="135"/>
    </row>
    <row r="112" spans="1:26" s="121" customFormat="1" x14ac:dyDescent="0.25">
      <c r="A112" s="130"/>
      <c r="B112" s="120"/>
      <c r="C112" s="120"/>
      <c r="D112" s="120"/>
      <c r="E112" s="120"/>
      <c r="F112" s="139"/>
      <c r="G112" s="134"/>
      <c r="H112" s="134"/>
      <c r="K112" s="136"/>
      <c r="L112" s="174"/>
      <c r="R112" s="135"/>
      <c r="T112" s="135"/>
      <c r="W112" s="120"/>
      <c r="X112" s="120"/>
      <c r="Y112" s="120"/>
      <c r="Z112" s="120"/>
    </row>
    <row r="113" spans="1:26" s="121" customFormat="1" x14ac:dyDescent="0.25">
      <c r="A113" s="130"/>
      <c r="B113" s="120"/>
      <c r="C113" s="120"/>
      <c r="D113" s="120"/>
      <c r="E113" s="120"/>
      <c r="F113" s="139"/>
      <c r="G113" s="134"/>
      <c r="H113" s="134"/>
      <c r="K113" s="136"/>
      <c r="L113" s="174"/>
      <c r="S113" s="135"/>
      <c r="T113" s="135"/>
      <c r="W113" s="120"/>
      <c r="X113" s="120"/>
      <c r="Y113" s="120"/>
      <c r="Z113" s="120"/>
    </row>
    <row r="114" spans="1:26" s="121" customFormat="1" x14ac:dyDescent="0.25">
      <c r="A114" s="130"/>
      <c r="B114" s="120"/>
      <c r="C114" s="120"/>
      <c r="D114" s="120"/>
      <c r="E114" s="120"/>
      <c r="F114" s="139"/>
      <c r="G114" s="134"/>
      <c r="H114" s="134"/>
      <c r="K114" s="136"/>
      <c r="L114" s="174"/>
      <c r="R114" s="135"/>
      <c r="T114" s="135"/>
      <c r="W114" s="120"/>
      <c r="X114" s="120"/>
      <c r="Y114" s="120"/>
      <c r="Z114" s="120"/>
    </row>
    <row r="115" spans="1:26" s="121" customFormat="1" x14ac:dyDescent="0.25">
      <c r="A115" s="130"/>
      <c r="B115" s="120"/>
      <c r="C115" s="120"/>
      <c r="D115" s="120"/>
      <c r="E115" s="120"/>
      <c r="F115" s="139"/>
      <c r="G115" s="134"/>
      <c r="H115" s="134"/>
      <c r="K115" s="136"/>
      <c r="L115" s="174"/>
      <c r="R115" s="135"/>
      <c r="S115" s="135"/>
      <c r="T115" s="135"/>
      <c r="W115" s="120"/>
      <c r="X115" s="120"/>
      <c r="Y115" s="120"/>
      <c r="Z115" s="120"/>
    </row>
    <row r="116" spans="1:26" s="121" customFormat="1" x14ac:dyDescent="0.25">
      <c r="A116" s="130"/>
      <c r="B116" s="120"/>
      <c r="C116" s="120"/>
      <c r="D116" s="120"/>
      <c r="E116" s="120"/>
      <c r="F116" s="139"/>
      <c r="G116" s="134"/>
      <c r="H116" s="134"/>
      <c r="K116" s="136"/>
      <c r="L116" s="174"/>
      <c r="R116" s="135"/>
      <c r="S116" s="135"/>
      <c r="W116" s="120"/>
      <c r="X116" s="120"/>
      <c r="Y116" s="120"/>
      <c r="Z116" s="120"/>
    </row>
  </sheetData>
  <autoFilter ref="B1:V93" xr:uid="{00000000-0009-0000-0000-000002000000}"/>
  <mergeCells count="69">
    <mergeCell ref="O88:P88"/>
    <mergeCell ref="O89:P89"/>
    <mergeCell ref="O90:P90"/>
    <mergeCell ref="O93:P93"/>
    <mergeCell ref="O80:P80"/>
    <mergeCell ref="O83:P83"/>
    <mergeCell ref="O84:P84"/>
    <mergeCell ref="O85:P85"/>
    <mergeCell ref="O86:P86"/>
    <mergeCell ref="O87:P87"/>
    <mergeCell ref="O79:P79"/>
    <mergeCell ref="O64:P64"/>
    <mergeCell ref="O68:P68"/>
    <mergeCell ref="O69:P69"/>
    <mergeCell ref="O72:P72"/>
    <mergeCell ref="O70:P70"/>
    <mergeCell ref="O65:P65"/>
    <mergeCell ref="O71:P71"/>
    <mergeCell ref="O73:P73"/>
    <mergeCell ref="O74:P74"/>
    <mergeCell ref="O77:P77"/>
    <mergeCell ref="O78:P78"/>
    <mergeCell ref="O67:P67"/>
    <mergeCell ref="O66:P66"/>
    <mergeCell ref="O52:P52"/>
    <mergeCell ref="O53:P53"/>
    <mergeCell ref="O54:P54"/>
    <mergeCell ref="O57:P57"/>
    <mergeCell ref="O58:P58"/>
    <mergeCell ref="O59:P59"/>
    <mergeCell ref="O60:P60"/>
    <mergeCell ref="O61:P61"/>
    <mergeCell ref="O62:P62"/>
    <mergeCell ref="O63:P63"/>
    <mergeCell ref="O51:P51"/>
    <mergeCell ref="O35:P35"/>
    <mergeCell ref="O36:P36"/>
    <mergeCell ref="O37:P37"/>
    <mergeCell ref="O39:P39"/>
    <mergeCell ref="O40:P40"/>
    <mergeCell ref="O41:P41"/>
    <mergeCell ref="O44:P44"/>
    <mergeCell ref="O45:P45"/>
    <mergeCell ref="O46:P46"/>
    <mergeCell ref="O47:P47"/>
    <mergeCell ref="O48:P48"/>
    <mergeCell ref="O34:P34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21:P21"/>
    <mergeCell ref="O1:P1"/>
    <mergeCell ref="O4:P4"/>
    <mergeCell ref="O5:P5"/>
    <mergeCell ref="O6:P6"/>
    <mergeCell ref="O9:P9"/>
    <mergeCell ref="O10:P10"/>
    <mergeCell ref="O12:P12"/>
    <mergeCell ref="O13:P13"/>
    <mergeCell ref="O14:P14"/>
    <mergeCell ref="O15:P15"/>
    <mergeCell ref="O18:P18"/>
  </mergeCells>
  <pageMargins left="0.25" right="0.25" top="0.75" bottom="0.75" header="0.3" footer="0.3"/>
  <pageSetup paperSize="5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FY23</vt:lpstr>
      <vt:lpstr>PAYROLL FY23</vt:lpstr>
      <vt:lpstr>REI</vt:lpstr>
      <vt:lpstr>LGBMS</vt:lpstr>
      <vt:lpstr>ARPA</vt:lpstr>
      <vt:lpstr>PAYROLL FY22 (3)</vt:lpstr>
      <vt:lpstr>'FY23'!MAINTABLE</vt:lpstr>
      <vt:lpstr>'FY23'!Print_Area</vt:lpstr>
      <vt:lpstr>'PAYROLL FY22 (3)'!Print_Area</vt:lpstr>
      <vt:lpstr>'PAYROLL FY23'!Print_Area</vt:lpstr>
      <vt:lpstr>'FY23'!Print_Titles</vt:lpstr>
      <vt:lpstr>'PAYROLL FY22 (3)'!Print_Titles</vt:lpstr>
      <vt:lpstr>'PAYROLL FY23'!Print_Titles</vt:lpstr>
    </vt:vector>
  </TitlesOfParts>
  <Company>City of Anthony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Gonzalez</dc:creator>
  <cp:lastModifiedBy>Hiram Gonzalez</cp:lastModifiedBy>
  <cp:lastPrinted>2023-04-24T22:27:54Z</cp:lastPrinted>
  <dcterms:created xsi:type="dcterms:W3CDTF">2022-09-07T22:30:05Z</dcterms:created>
  <dcterms:modified xsi:type="dcterms:W3CDTF">2023-04-24T23:54:22Z</dcterms:modified>
</cp:coreProperties>
</file>